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microsoft.com/office/2011/relationships/webextensiontaskpanes" Target="xl/webextensions/taskpanes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ark-my.sharepoint.com/personal/kdallee_uark_edu/Documents/Documents/Teaching/ACCT5223 - MBA/Woolies and Coles Case/"/>
    </mc:Choice>
  </mc:AlternateContent>
  <xr:revisionPtr revIDLastSave="140" documentId="13_ncr:1_{DED1544F-08FD-3848-BD91-BD1F3082598B}" xr6:coauthVersionLast="47" xr6:coauthVersionMax="47" xr10:uidLastSave="{B6528942-7BA0-4A80-96D8-9E4645AFC8E8}"/>
  <bookViews>
    <workbookView xWindow="-98" yWindow="-98" windowWidth="20715" windowHeight="13276" firstSheet="3" xr2:uid="{00000000-000D-0000-FFFF-FFFF00000000}"/>
  </bookViews>
  <sheets>
    <sheet name="Table 1 - Woolworths Financials" sheetId="1" r:id="rId1"/>
    <sheet name="Table 2 - Financial Ratios W" sheetId="5" r:id="rId2"/>
    <sheet name="Table 3 - Coles Financials" sheetId="6" r:id="rId3"/>
    <sheet name="Table 4 - Financial Ratios C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J4" i="6"/>
  <c r="I4" i="6"/>
  <c r="K4" i="6"/>
  <c r="L4" i="6"/>
  <c r="I90" i="1"/>
  <c r="H90" i="1"/>
  <c r="J90" i="1"/>
  <c r="K90" i="1"/>
  <c r="H7" i="6"/>
  <c r="F27" i="5"/>
  <c r="D33" i="5"/>
  <c r="E33" i="5"/>
  <c r="F33" i="5"/>
  <c r="C33" i="5"/>
  <c r="C28" i="5"/>
  <c r="F26" i="5"/>
  <c r="F25" i="5"/>
  <c r="D23" i="5"/>
  <c r="E23" i="5"/>
  <c r="F23" i="5"/>
  <c r="C23" i="5"/>
  <c r="D22" i="5"/>
  <c r="E22" i="5"/>
  <c r="F22" i="5"/>
  <c r="C22" i="5"/>
  <c r="F20" i="5"/>
  <c r="D20" i="5"/>
  <c r="E20" i="5"/>
  <c r="C20" i="5"/>
  <c r="F19" i="5"/>
  <c r="D19" i="5"/>
  <c r="E19" i="5"/>
  <c r="C19" i="5"/>
  <c r="D14" i="5"/>
  <c r="E14" i="5"/>
  <c r="E15" i="5" s="1"/>
  <c r="F14" i="5"/>
  <c r="C14" i="5"/>
  <c r="C15" i="5" s="1"/>
  <c r="D12" i="5"/>
  <c r="D13" i="5" s="1"/>
  <c r="E12" i="5"/>
  <c r="E13" i="5" s="1"/>
  <c r="F12" i="5"/>
  <c r="F13" i="5" s="1"/>
  <c r="C12" i="5"/>
  <c r="C13" i="5" s="1"/>
  <c r="F10" i="5"/>
  <c r="D10" i="5"/>
  <c r="D11" i="5" s="1"/>
  <c r="E10" i="5"/>
  <c r="C10" i="5"/>
  <c r="C11" i="5" s="1"/>
  <c r="F4" i="5"/>
  <c r="F7" i="5" s="1"/>
  <c r="C4" i="5"/>
  <c r="C7" i="5" s="1"/>
  <c r="D4" i="5"/>
  <c r="D7" i="5" s="1"/>
  <c r="E4" i="5"/>
  <c r="E7" i="5" s="1"/>
  <c r="B4" i="5"/>
  <c r="B7" i="5" s="1"/>
  <c r="C6" i="5"/>
  <c r="C5" i="5"/>
  <c r="D5" i="5"/>
  <c r="E5" i="5"/>
  <c r="F5" i="5"/>
  <c r="B5" i="5"/>
  <c r="D35" i="4"/>
  <c r="E35" i="4"/>
  <c r="F35" i="4"/>
  <c r="C35" i="4"/>
  <c r="C34" i="4"/>
  <c r="D34" i="4"/>
  <c r="E34" i="4"/>
  <c r="F34" i="4"/>
  <c r="B34" i="4"/>
  <c r="C33" i="4"/>
  <c r="D33" i="4"/>
  <c r="E33" i="4"/>
  <c r="F33" i="4"/>
  <c r="B33" i="4"/>
  <c r="D31" i="4"/>
  <c r="E31" i="4"/>
  <c r="F31" i="4"/>
  <c r="C31" i="4"/>
  <c r="C28" i="4"/>
  <c r="D28" i="4"/>
  <c r="E28" i="4"/>
  <c r="F28" i="4"/>
  <c r="B28" i="4"/>
  <c r="B27" i="4"/>
  <c r="D27" i="4"/>
  <c r="E27" i="4"/>
  <c r="F27" i="4"/>
  <c r="C27" i="4"/>
  <c r="C26" i="4"/>
  <c r="D26" i="4"/>
  <c r="E26" i="4"/>
  <c r="F26" i="4"/>
  <c r="B26" i="4"/>
  <c r="C25" i="4"/>
  <c r="D25" i="4"/>
  <c r="E25" i="4"/>
  <c r="F25" i="4"/>
  <c r="B25" i="4"/>
  <c r="C24" i="4"/>
  <c r="D24" i="4"/>
  <c r="E24" i="4"/>
  <c r="F24" i="4"/>
  <c r="B24" i="4"/>
  <c r="B23" i="4"/>
  <c r="D23" i="4"/>
  <c r="E23" i="4"/>
  <c r="F23" i="4"/>
  <c r="C23" i="4"/>
  <c r="B22" i="4"/>
  <c r="D22" i="4"/>
  <c r="E22" i="4"/>
  <c r="F22" i="4"/>
  <c r="C22" i="4"/>
  <c r="B20" i="4"/>
  <c r="D20" i="4"/>
  <c r="E20" i="4"/>
  <c r="F20" i="4"/>
  <c r="C20" i="4"/>
  <c r="B19" i="4"/>
  <c r="D19" i="4"/>
  <c r="E19" i="4"/>
  <c r="F19" i="4"/>
  <c r="C19" i="4"/>
  <c r="B14" i="4"/>
  <c r="B15" i="4" s="1"/>
  <c r="D14" i="4"/>
  <c r="D15" i="4" s="1"/>
  <c r="E14" i="4"/>
  <c r="E15" i="4" s="1"/>
  <c r="F14" i="4"/>
  <c r="F15" i="4" s="1"/>
  <c r="C14" i="4"/>
  <c r="C15" i="4" s="1"/>
  <c r="B12" i="4"/>
  <c r="B13" i="4" s="1"/>
  <c r="D12" i="4"/>
  <c r="D13" i="4" s="1"/>
  <c r="E12" i="4"/>
  <c r="E13" i="4" s="1"/>
  <c r="F12" i="4"/>
  <c r="F13" i="4" s="1"/>
  <c r="C12" i="4"/>
  <c r="C13" i="4" s="1"/>
  <c r="B10" i="4"/>
  <c r="B11" i="4" s="1"/>
  <c r="D10" i="4"/>
  <c r="D11" i="4" s="1"/>
  <c r="E10" i="4"/>
  <c r="E11" i="4" s="1"/>
  <c r="F10" i="4"/>
  <c r="F11" i="4" s="1"/>
  <c r="C10" i="4"/>
  <c r="C11" i="4" s="1"/>
  <c r="C8" i="4"/>
  <c r="D8" i="4"/>
  <c r="E8" i="4"/>
  <c r="F8" i="4"/>
  <c r="B8" i="4"/>
  <c r="B6" i="4"/>
  <c r="D6" i="4"/>
  <c r="E6" i="4"/>
  <c r="F6" i="4"/>
  <c r="C6" i="4"/>
  <c r="C5" i="4"/>
  <c r="D5" i="4"/>
  <c r="E5" i="4"/>
  <c r="F5" i="4"/>
  <c r="B5" i="4"/>
  <c r="C4" i="4"/>
  <c r="C7" i="4" s="1"/>
  <c r="D4" i="4"/>
  <c r="D7" i="4" s="1"/>
  <c r="E4" i="4"/>
  <c r="E7" i="4" s="1"/>
  <c r="F4" i="4"/>
  <c r="F7" i="4" s="1"/>
  <c r="B4" i="4"/>
  <c r="B7" i="4" s="1"/>
  <c r="C3" i="4"/>
  <c r="D3" i="4"/>
  <c r="E3" i="4"/>
  <c r="F3" i="4"/>
  <c r="B3" i="4"/>
  <c r="F11" i="5"/>
  <c r="C34" i="5"/>
  <c r="D34" i="5"/>
  <c r="E34" i="5"/>
  <c r="F34" i="5"/>
  <c r="B34" i="5"/>
  <c r="C32" i="5"/>
  <c r="D32" i="5"/>
  <c r="E32" i="5"/>
  <c r="F32" i="5"/>
  <c r="B32" i="5"/>
  <c r="C31" i="5"/>
  <c r="D31" i="5"/>
  <c r="E31" i="5"/>
  <c r="F31" i="5"/>
  <c r="B31" i="5"/>
  <c r="C29" i="5"/>
  <c r="D29" i="5"/>
  <c r="E29" i="5"/>
  <c r="F29" i="5"/>
  <c r="B29" i="5"/>
  <c r="C27" i="5"/>
  <c r="D27" i="5"/>
  <c r="E27" i="5"/>
  <c r="B27" i="5"/>
  <c r="C26" i="5"/>
  <c r="D26" i="5"/>
  <c r="E26" i="5"/>
  <c r="B26" i="5"/>
  <c r="C25" i="5"/>
  <c r="D25" i="5"/>
  <c r="E25" i="5"/>
  <c r="B25" i="5"/>
  <c r="F15" i="5"/>
  <c r="D15" i="5"/>
  <c r="E11" i="5"/>
  <c r="C8" i="5"/>
  <c r="D8" i="5"/>
  <c r="E8" i="5"/>
  <c r="F8" i="5"/>
  <c r="B8" i="5"/>
  <c r="C3" i="5"/>
  <c r="D3" i="5"/>
  <c r="E3" i="5"/>
  <c r="F3" i="5"/>
  <c r="B3" i="5"/>
  <c r="E16" i="4" l="1"/>
  <c r="E17" i="4" s="1"/>
  <c r="C16" i="4"/>
  <c r="C17" i="4" s="1"/>
  <c r="D16" i="4"/>
  <c r="D17" i="4" s="1"/>
  <c r="F16" i="4"/>
  <c r="F17" i="4" s="1"/>
  <c r="C18" i="4"/>
  <c r="B16" i="4"/>
  <c r="B17" i="4" s="1"/>
  <c r="E16" i="5"/>
  <c r="E17" i="5" s="1"/>
  <c r="D16" i="5"/>
  <c r="D17" i="5" s="1"/>
  <c r="C18" i="5"/>
  <c r="C16" i="5"/>
  <c r="C17" i="5" s="1"/>
  <c r="F18" i="5"/>
  <c r="E18" i="5"/>
  <c r="D18" i="5"/>
  <c r="F18" i="4"/>
  <c r="E18" i="4"/>
  <c r="D18" i="4"/>
  <c r="F16" i="5"/>
  <c r="F17" i="5" s="1"/>
</calcChain>
</file>

<file path=xl/sharedStrings.xml><?xml version="1.0" encoding="utf-8"?>
<sst xmlns="http://schemas.openxmlformats.org/spreadsheetml/2006/main" count="575" uniqueCount="274">
  <si>
    <t>Woolworths Group Ltd (AUS: WOW)</t>
  </si>
  <si>
    <t>FY19</t>
  </si>
  <si>
    <t>FY20</t>
  </si>
  <si>
    <t>FY21</t>
  </si>
  <si>
    <t>FY22</t>
  </si>
  <si>
    <t>FY23</t>
  </si>
  <si>
    <t>Balance Sheet (In Thousands)</t>
  </si>
  <si>
    <t>Cash &amp; cash equivalents</t>
  </si>
  <si>
    <t>Trade receivables, gross</t>
  </si>
  <si>
    <t>Loss allowance - trade receivables</t>
  </si>
  <si>
    <t>Trade receivables</t>
  </si>
  <si>
    <t>Other receivables, gross</t>
  </si>
  <si>
    <t>-</t>
  </si>
  <si>
    <t>Loss allowance - other receivables</t>
  </si>
  <si>
    <t>Other receivables</t>
  </si>
  <si>
    <t>Prepayments</t>
  </si>
  <si>
    <t>Trade &amp; other receivables</t>
  </si>
  <si>
    <t>Inventories</t>
  </si>
  <si>
    <t>Other financial assets</t>
  </si>
  <si>
    <t>Lease receivables</t>
  </si>
  <si>
    <t>?</t>
  </si>
  <si>
    <t>Other assets</t>
  </si>
  <si>
    <t>Other current assets</t>
  </si>
  <si>
    <t>Total current assets before assets held for sale</t>
  </si>
  <si>
    <t>Assets held for sale</t>
  </si>
  <si>
    <t>Total current assets</t>
  </si>
  <si>
    <t>Lease assets</t>
  </si>
  <si>
    <t>Property, plant &amp; equipment, cost</t>
  </si>
  <si>
    <t>Less accumulated depreciation &amp; impairment</t>
  </si>
  <si>
    <t>Property, plant &amp; equipment</t>
  </si>
  <si>
    <t>Goodwill, net</t>
  </si>
  <si>
    <t>Brand names, net</t>
  </si>
  <si>
    <t>Software, net</t>
  </si>
  <si>
    <t>Customer contracts &amp; relationships, net</t>
  </si>
  <si>
    <t>Other intangible assets, net</t>
  </si>
  <si>
    <t>Liquor, gaming licenses &amp; other intangible assets</t>
  </si>
  <si>
    <t>Intangible assets</t>
  </si>
  <si>
    <t>Investments accounted for using the equity method</t>
  </si>
  <si>
    <t>Investments in associates</t>
  </si>
  <si>
    <t>Deferred tax assets</t>
  </si>
  <si>
    <t>Total non-current assets</t>
  </si>
  <si>
    <t>Total assets</t>
  </si>
  <si>
    <t>Trade payables</t>
  </si>
  <si>
    <t>Accruals</t>
  </si>
  <si>
    <t>Contract liabilities</t>
  </si>
  <si>
    <t>Unearned income</t>
  </si>
  <si>
    <t>Trade &amp; other payables</t>
  </si>
  <si>
    <t>Lease liabilites</t>
  </si>
  <si>
    <t>Unsecured short-term money market loans</t>
  </si>
  <si>
    <t>Unsecured bank loans</t>
  </si>
  <si>
    <t>Unsecured securities</t>
  </si>
  <si>
    <t>Borrowings</t>
  </si>
  <si>
    <t>Current tax payable</t>
  </si>
  <si>
    <t>Other financial liabilities</t>
  </si>
  <si>
    <t>Provisions</t>
  </si>
  <si>
    <t>Other current liabilities</t>
  </si>
  <si>
    <t>Total current liabilities before liabilities associated with assets held for sale</t>
  </si>
  <si>
    <t>Liabilities associated with assets held for sale</t>
  </si>
  <si>
    <t>Total current liabilities</t>
  </si>
  <si>
    <t>Unamortized borrowing costs</t>
  </si>
  <si>
    <t>Finance leases</t>
  </si>
  <si>
    <t>Deferred tax liabilities</t>
  </si>
  <si>
    <t>Other non-current liabilities</t>
  </si>
  <si>
    <t>Total non-current liabilities</t>
  </si>
  <si>
    <t>Total liabilities</t>
  </si>
  <si>
    <t>Net assets</t>
  </si>
  <si>
    <t>Share capital</t>
  </si>
  <si>
    <t>Shares held in trust</t>
  </si>
  <si>
    <t>Contributed equity</t>
  </si>
  <si>
    <t>Cash flow hedging reserves</t>
  </si>
  <si>
    <t>Foreign currency translation reserve</t>
  </si>
  <si>
    <t>Remuneration reserve</t>
  </si>
  <si>
    <t>Asset revaluation reserve</t>
  </si>
  <si>
    <t>Equity instrument reserve</t>
  </si>
  <si>
    <t>Reserves</t>
  </si>
  <si>
    <t>Retained earnings</t>
  </si>
  <si>
    <t>Equity attributable to equity holders of the parent entity</t>
  </si>
  <si>
    <t>Non-controlling interests</t>
  </si>
  <si>
    <t>Total equity</t>
  </si>
  <si>
    <t>Income Statement (In Thousands)</t>
  </si>
  <si>
    <t>Revenue from the sale of goods &amp; services</t>
  </si>
  <si>
    <t>YoY revenue growth</t>
  </si>
  <si>
    <t>Revenue</t>
  </si>
  <si>
    <t>Cost of sales</t>
  </si>
  <si>
    <t>Cost of Sales growth</t>
  </si>
  <si>
    <t>Gross profit</t>
  </si>
  <si>
    <t>Other income</t>
  </si>
  <si>
    <t>Branch expenses</t>
  </si>
  <si>
    <t>Administration expenses</t>
  </si>
  <si>
    <t>Earnings before interest &amp; tax</t>
  </si>
  <si>
    <t>Interest expense - leases</t>
  </si>
  <si>
    <t>Interest expense</t>
  </si>
  <si>
    <t>Less: interest capitalized</t>
  </si>
  <si>
    <t>Other</t>
  </si>
  <si>
    <t>Finance costs</t>
  </si>
  <si>
    <t>Interest income</t>
  </si>
  <si>
    <t>Net finance income (costs)</t>
  </si>
  <si>
    <t>Profit before income tax</t>
  </si>
  <si>
    <t>Income tax expense (benefit)</t>
  </si>
  <si>
    <t>Profit for the period from continuing operations</t>
  </si>
  <si>
    <t>Profit (loss) for the period from discontinued operations, after tax</t>
  </si>
  <si>
    <t>Profit (loss) for the period</t>
  </si>
  <si>
    <t>Profit attributable to equity holders of the parent entity</t>
  </si>
  <si>
    <t>Profit attributable to non-controlling interests</t>
  </si>
  <si>
    <t>Weighted average ordinary shares outstanding - basic</t>
  </si>
  <si>
    <t>Weighted average ordinary shares outstanding - diluted</t>
  </si>
  <si>
    <t>Year end ordinary shares outstanding</t>
  </si>
  <si>
    <t>Earnings per share from continuing operations - basic</t>
  </si>
  <si>
    <t>Earnings (loss) per share from discontinued operations - basic</t>
  </si>
  <si>
    <t>Net earnings per share - basic</t>
  </si>
  <si>
    <t>Earnings per share from continuing operations - diluted</t>
  </si>
  <si>
    <t>Earnings (loss) per share from discontinued operations - diluted</t>
  </si>
  <si>
    <t>Net earnings per share - diluted</t>
  </si>
  <si>
    <t>Dividends per share</t>
  </si>
  <si>
    <t>Total number of employees</t>
  </si>
  <si>
    <t>Number of ordinary stockholders</t>
  </si>
  <si>
    <t>Annual Cash Flow (In Thousands)</t>
  </si>
  <si>
    <t>Receipts from customers</t>
  </si>
  <si>
    <t>Payments to suppliers &amp; employees</t>
  </si>
  <si>
    <t>Payments for the interest component of lease liabilities</t>
  </si>
  <si>
    <t>Finance costs paid on borrowings</t>
  </si>
  <si>
    <t>Income tax paid</t>
  </si>
  <si>
    <t>Net cash provided by operating activities</t>
  </si>
  <si>
    <t>Proceeds &amp; advances from the sale of property, plant &amp; equipment</t>
  </si>
  <si>
    <t>Profit after income tax expense</t>
  </si>
  <si>
    <t>Profit for the period</t>
  </si>
  <si>
    <t>Depreciation &amp; amortization</t>
  </si>
  <si>
    <t>Impairment expense (reversal of impairment)</t>
  </si>
  <si>
    <t>Impairment expense (reversal of impairment) of non-financial assets</t>
  </si>
  <si>
    <t>Share-based payments expense</t>
  </si>
  <si>
    <t>Net loss on disposal of businesses &amp; investments</t>
  </si>
  <si>
    <t>Net loss (gain) on disposal of assets</t>
  </si>
  <si>
    <t>Loss (gain) on disposal of previously held equity interest in Quantium</t>
  </si>
  <si>
    <t>Loss (profit) on sale of business</t>
  </si>
  <si>
    <t>Interest capitalized</t>
  </si>
  <si>
    <t>Net loss (gain) on disposal &amp; write-off of assets</t>
  </si>
  <si>
    <t>Net loss (profit) on disposal &amp; write-off of property, plant &amp; equipment</t>
  </si>
  <si>
    <t>Loss (gain) on demerger of Endeavour</t>
  </si>
  <si>
    <t>Revaluation of put option liabilities over non-controlling interests</t>
  </si>
  <si>
    <t>Dividends received</t>
  </si>
  <si>
    <t>Other non-cash adjustments</t>
  </si>
  <si>
    <t>Net share of profit of investments accounted for using the equity method</t>
  </si>
  <si>
    <t>Decrease (increase) in inventories</t>
  </si>
  <si>
    <t>Increase (decrease) in trade payables</t>
  </si>
  <si>
    <t>Increase (decrease) in provisions</t>
  </si>
  <si>
    <t>Decrease (increase) in trade &amp; other receivables</t>
  </si>
  <si>
    <t>Decrease (increase) in other assets</t>
  </si>
  <si>
    <t>Increase (decrease) in other payables</t>
  </si>
  <si>
    <t>Decrease (increase) in deferred tax</t>
  </si>
  <si>
    <t xml:space="preserve">Increase (decrease) in income tax payable </t>
  </si>
  <si>
    <t>Proceeds from the sale of property, plant &amp; equipment &amp; assets held for sale</t>
  </si>
  <si>
    <t>Payments for property, plant &amp; equipment &amp; intangible assets</t>
  </si>
  <si>
    <t>Proceeds from the sale of subsidiaries &amp; investments, net of cash disposed</t>
  </si>
  <si>
    <t>Payments for the purchase of businesses, net of cash acquired</t>
  </si>
  <si>
    <t>Loans provided to related parties</t>
  </si>
  <si>
    <t>Payments for the purchase of investments</t>
  </si>
  <si>
    <t>Net proceeds from (advances to) related parties</t>
  </si>
  <si>
    <t>Net cash provided by (used in) investing activities</t>
  </si>
  <si>
    <t>Repayment of principal component of lease liabilities</t>
  </si>
  <si>
    <t>Proceeds from borrowings</t>
  </si>
  <si>
    <t>Repayment of borrowings</t>
  </si>
  <si>
    <t>Proceeds from loan to related party</t>
  </si>
  <si>
    <t>Distribution to related party</t>
  </si>
  <si>
    <t>Payments for share buy-back</t>
  </si>
  <si>
    <t>Dividends paid</t>
  </si>
  <si>
    <t>Dividends paid to non-controlling interests</t>
  </si>
  <si>
    <t>Payments for shares held in trust</t>
  </si>
  <si>
    <t>Net cash provided by (used in) financing activities</t>
  </si>
  <si>
    <t>Net increase (decrease) in cash &amp; cash equivalents</t>
  </si>
  <si>
    <t>Effects of exchange rate changes on cash &amp; cash equivalents</t>
  </si>
  <si>
    <t>Cash &amp; cash equivalents at start of period</t>
  </si>
  <si>
    <t>Cash &amp; cash equivalents at end of period</t>
  </si>
  <si>
    <t xml:space="preserve">Financial Ratios - Woolworths </t>
  </si>
  <si>
    <t>Liquidity Ratios</t>
  </si>
  <si>
    <t>Current Ratio</t>
  </si>
  <si>
    <t>Quick Ratio</t>
  </si>
  <si>
    <t>Cash Ratio</t>
  </si>
  <si>
    <t>CFO Ratio</t>
  </si>
  <si>
    <t>Defensive Interval (Cash Burn Rate)</t>
  </si>
  <si>
    <t xml:space="preserve">Working Capital </t>
  </si>
  <si>
    <t>Activity Ratios</t>
  </si>
  <si>
    <t>Receivable Turnover</t>
  </si>
  <si>
    <t>Average Receivables Collection Day</t>
  </si>
  <si>
    <t>Inventory Turnover</t>
  </si>
  <si>
    <t>Average Days Inventory in Stock</t>
  </si>
  <si>
    <t>Payables Turnover</t>
  </si>
  <si>
    <t>Average Days Payables Outstanding</t>
  </si>
  <si>
    <t>Operating Cycle</t>
  </si>
  <si>
    <t>Net Trade Cycle/Cash Cycle</t>
  </si>
  <si>
    <t>Working Capital Turnover</t>
  </si>
  <si>
    <t>Fixed Asset Turnover</t>
  </si>
  <si>
    <t>Asset Turnover</t>
  </si>
  <si>
    <t>Profitability Ratios</t>
  </si>
  <si>
    <t>Return on Equity</t>
  </si>
  <si>
    <t>Return on Assets</t>
  </si>
  <si>
    <t xml:space="preserve">Return on Invested Capital </t>
  </si>
  <si>
    <t>Gross Profit Margin on Sales</t>
  </si>
  <si>
    <t>Operating Margin</t>
  </si>
  <si>
    <t>Net Profit Margin on Sales</t>
  </si>
  <si>
    <t>Cash Return on Assets</t>
  </si>
  <si>
    <t>Earnings per Share</t>
  </si>
  <si>
    <t>Solvency Ratios</t>
  </si>
  <si>
    <t>Debt to Total Assets</t>
  </si>
  <si>
    <t>Debt to Equity</t>
  </si>
  <si>
    <t>Financial Leverage</t>
  </si>
  <si>
    <t>Times Interest Earned</t>
  </si>
  <si>
    <t xml:space="preserve"> </t>
  </si>
  <si>
    <t>Coles Group Ltd (AUS: COL)</t>
  </si>
  <si>
    <t>Income Statement</t>
  </si>
  <si>
    <t>Continuing Operations</t>
  </si>
  <si>
    <t>$m</t>
  </si>
  <si>
    <t>Sales revenue</t>
  </si>
  <si>
    <t>YoY Growth</t>
  </si>
  <si>
    <t>Other operating revenue</t>
  </si>
  <si>
    <t>Total operating revenue</t>
  </si>
  <si>
    <t>Cost of Sales Growth</t>
  </si>
  <si>
    <t>Other expenses</t>
  </si>
  <si>
    <t>Share of net loss from equity accounted investments</t>
  </si>
  <si>
    <t>Earnings before interest and tax (EBIT)</t>
  </si>
  <si>
    <t>Financing costs</t>
  </si>
  <si>
    <t>Income tax expense</t>
  </si>
  <si>
    <t>Discontinued operations</t>
  </si>
  <si>
    <t>Profit for the period from discontinued operations, after tax</t>
  </si>
  <si>
    <t>Profit attributable to:</t>
  </si>
  <si>
    <t>Equity holders of the parent entity</t>
  </si>
  <si>
    <t xml:space="preserve">Earnings per share (EPS) attributable to equity holders of the Company: </t>
  </si>
  <si>
    <t>Basic EPS (cents)</t>
  </si>
  <si>
    <t>Diluted EPS (cents)</t>
  </si>
  <si>
    <t xml:space="preserve">EPS attributable to equity holders of the Company from continuing operations: </t>
  </si>
  <si>
    <t xml:space="preserve">Other comprehensive income </t>
  </si>
  <si>
    <t>Items that may be reclassified to profit or loss:</t>
  </si>
  <si>
    <t>Net movement in the fair value of cash flow hedges</t>
  </si>
  <si>
    <t>Income tax effect</t>
  </si>
  <si>
    <t>Other comprehensive income which may be reclassified to profit or loss in subsequent periods</t>
  </si>
  <si>
    <t xml:space="preserve">Total comprehensive income attributable to: </t>
  </si>
  <si>
    <t>Balance Sheet</t>
  </si>
  <si>
    <t>Assets</t>
  </si>
  <si>
    <t>Current assets</t>
  </si>
  <si>
    <t>Cash and cash equivalents</t>
  </si>
  <si>
    <t>Trade and other receivables</t>
  </si>
  <si>
    <t>Income tax receivable</t>
  </si>
  <si>
    <t xml:space="preserve">Non-current assets </t>
  </si>
  <si>
    <t>Property, plant and equipment</t>
  </si>
  <si>
    <t>Right-of-use assets</t>
  </si>
  <si>
    <t>Investment in subsidiaries</t>
  </si>
  <si>
    <t>Investment in joint venture</t>
  </si>
  <si>
    <t xml:space="preserve">Liabilities </t>
  </si>
  <si>
    <t>Current liabilities</t>
  </si>
  <si>
    <t>Trade and other payables</t>
  </si>
  <si>
    <t>Income tax payable</t>
  </si>
  <si>
    <t>Lease liabilities</t>
  </si>
  <si>
    <t>Non-current liabilities</t>
  </si>
  <si>
    <t>Interest-bearing liabilities</t>
  </si>
  <si>
    <t>Equity</t>
  </si>
  <si>
    <t>Cashflow</t>
  </si>
  <si>
    <t xml:space="preserve">Net cash from operating activities </t>
  </si>
  <si>
    <t>Cash realisation</t>
  </si>
  <si>
    <t>Dividends and EPS</t>
  </si>
  <si>
    <t>Interim dividend</t>
  </si>
  <si>
    <t>Final dividend</t>
  </si>
  <si>
    <t>Special dividend</t>
  </si>
  <si>
    <t>Total dividends</t>
  </si>
  <si>
    <t>Dividend payout ratio</t>
  </si>
  <si>
    <t>n/a</t>
  </si>
  <si>
    <t>Basic earnings per share - continuing operations</t>
  </si>
  <si>
    <t>Diluted earnings per share - continuing operations</t>
  </si>
  <si>
    <t>Basic earnings per share - continuing &amp; discontinued operations</t>
  </si>
  <si>
    <t>Diluted earnings per share - continuing &amp; discontinued operations</t>
  </si>
  <si>
    <t>Weighted average shares on issue - basic shares</t>
  </si>
  <si>
    <t>Weighted average shares on issue - diluted shares</t>
  </si>
  <si>
    <t>Financial Ratios - Coles</t>
  </si>
  <si>
    <t>Price Earnings Ratio</t>
  </si>
  <si>
    <t>Market to Book Ratio</t>
  </si>
  <si>
    <t>Dividend Payout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</si>
</sst>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1"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8"/>
      <color rgb="FFFF0000"/>
      <name val="Century Gothic"/>
      <family val="2"/>
    </font>
    <font>
      <sz val="8"/>
      <color theme="1"/>
      <name val="Century Gothic"/>
      <family val="2"/>
    </font>
    <font>
      <b/>
      <sz val="10"/>
      <color theme="0"/>
      <name val="Century Gothic"/>
      <family val="2"/>
    </font>
    <font>
      <sz val="11"/>
      <color theme="0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rgb="FF000000"/>
      <name val="Arial"/>
      <family val="2"/>
    </font>
    <font>
      <sz val="10"/>
      <color theme="0"/>
      <name val="Century Gothic"/>
      <family val="2"/>
    </font>
    <font>
      <b/>
      <sz val="12"/>
      <color theme="1"/>
      <name val="Century Gothic"/>
      <family val="2"/>
    </font>
    <font>
      <sz val="10"/>
      <color rgb="FF000000"/>
      <name val="Batang"/>
    </font>
    <font>
      <b/>
      <sz val="10"/>
      <color rgb="FF000000"/>
      <name val="Batang"/>
    </font>
    <font>
      <sz val="11"/>
      <color rgb="FF000000"/>
      <name val="Batang"/>
    </font>
    <font>
      <b/>
      <sz val="10"/>
      <color rgb="FFFF0000"/>
      <name val="Batang"/>
    </font>
    <font>
      <sz val="8"/>
      <color theme="1"/>
      <name val="Batang"/>
    </font>
    <font>
      <b/>
      <sz val="16"/>
      <color rgb="FFFF0000"/>
      <name val="Batang"/>
    </font>
    <font>
      <b/>
      <sz val="10"/>
      <color theme="0"/>
      <name val="Batang"/>
    </font>
    <font>
      <b/>
      <sz val="8"/>
      <color theme="1"/>
      <name val="Batang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vertical="center" wrapText="1"/>
    </xf>
    <xf numFmtId="164" fontId="0" fillId="0" borderId="0" xfId="0" applyNumberFormat="1"/>
    <xf numFmtId="164" fontId="11" fillId="2" borderId="0" xfId="0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 wrapText="1"/>
    </xf>
    <xf numFmtId="164" fontId="9" fillId="0" borderId="0" xfId="1" applyNumberFormat="1" applyFont="1" applyFill="1" applyAlignment="1">
      <alignment horizontal="right" vertical="center" wrapText="1"/>
    </xf>
    <xf numFmtId="164" fontId="9" fillId="0" borderId="0" xfId="1" applyNumberFormat="1" applyFont="1" applyAlignment="1">
      <alignment horizontal="right" vertical="center" wrapText="1"/>
    </xf>
    <xf numFmtId="164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2" xfId="0" applyFont="1" applyBorder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/>
    <xf numFmtId="164" fontId="13" fillId="0" borderId="0" xfId="0" applyNumberFormat="1" applyFont="1"/>
    <xf numFmtId="164" fontId="14" fillId="0" borderId="0" xfId="0" applyNumberFormat="1" applyFont="1"/>
    <xf numFmtId="164" fontId="13" fillId="0" borderId="3" xfId="0" applyNumberFormat="1" applyFont="1" applyBorder="1"/>
    <xf numFmtId="164" fontId="13" fillId="0" borderId="4" xfId="0" applyNumberFormat="1" applyFont="1" applyBorder="1"/>
    <xf numFmtId="164" fontId="14" fillId="0" borderId="4" xfId="0" applyNumberFormat="1" applyFont="1" applyBorder="1"/>
    <xf numFmtId="164" fontId="14" fillId="0" borderId="3" xfId="0" applyNumberFormat="1" applyFont="1" applyBorder="1"/>
    <xf numFmtId="164" fontId="17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right" vertical="center" wrapText="1"/>
    </xf>
    <xf numFmtId="164" fontId="17" fillId="0" borderId="0" xfId="1" applyNumberFormat="1" applyFont="1" applyFill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4" fontId="17" fillId="0" borderId="0" xfId="1" applyNumberFormat="1" applyFont="1" applyFill="1" applyBorder="1" applyAlignment="1">
      <alignment horizontal="right" vertical="center" wrapText="1"/>
    </xf>
    <xf numFmtId="164" fontId="19" fillId="2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0" fillId="0" borderId="0" xfId="0" applyNumberFormat="1"/>
    <xf numFmtId="44" fontId="5" fillId="0" borderId="0" xfId="2" applyFont="1" applyAlignment="1">
      <alignment vertical="center" wrapText="1"/>
    </xf>
    <xf numFmtId="164" fontId="13" fillId="0" borderId="0" xfId="0" applyNumberFormat="1" applyFont="1" applyAlignment="1">
      <alignment horizontal="right"/>
    </xf>
    <xf numFmtId="0" fontId="5" fillId="3" borderId="0" xfId="0" applyFont="1" applyFill="1" applyAlignment="1">
      <alignment vertical="center" wrapText="1"/>
    </xf>
    <xf numFmtId="2" fontId="5" fillId="3" borderId="0" xfId="0" applyNumberFormat="1" applyFont="1" applyFill="1" applyAlignment="1">
      <alignment vertical="center" wrapText="1"/>
    </xf>
    <xf numFmtId="10" fontId="5" fillId="0" borderId="0" xfId="0" applyNumberFormat="1" applyFont="1" applyAlignment="1">
      <alignment vertical="center" wrapText="1"/>
    </xf>
    <xf numFmtId="2" fontId="0" fillId="0" borderId="0" xfId="0" applyNumberFormat="1" applyAlignment="1">
      <alignment horizontal="left"/>
    </xf>
    <xf numFmtId="0" fontId="6" fillId="0" borderId="0" xfId="0" applyFont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horizontal="left"/>
    </xf>
    <xf numFmtId="2" fontId="0" fillId="3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Woolworths Margin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 2 - Financial Ratios W'!$A$25</c:f>
              <c:strCache>
                <c:ptCount val="1"/>
                <c:pt idx="0">
                  <c:v>Gross Profit Margin on 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2 - Financial Ratios W'!B2:F2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'Table 2 - Financial Ratios W'!$B$25:$F$25</c:f>
              <c:numCache>
                <c:formatCode>0.00</c:formatCode>
                <c:ptCount val="5"/>
                <c:pt idx="0">
                  <c:v>0.29077754067751399</c:v>
                </c:pt>
                <c:pt idx="1">
                  <c:v>0.29163722025912836</c:v>
                </c:pt>
                <c:pt idx="2">
                  <c:v>0.29317341185765072</c:v>
                </c:pt>
                <c:pt idx="3">
                  <c:v>0.29650446186461571</c:v>
                </c:pt>
                <c:pt idx="4">
                  <c:v>0.26714778984042059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F7A-4032-AB5C-FBB455FEA029}"/>
            </c:ext>
          </c:extLst>
        </c:ser>
        <c:ser>
          <c:idx val="1"/>
          <c:order val="1"/>
          <c:tx>
            <c:strRef>
              <c:f>'Table 2 - Financial Ratios W'!$A$27</c:f>
              <c:strCache>
                <c:ptCount val="1"/>
                <c:pt idx="0">
                  <c:v>Net Profit Margin on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2 - Financial Ratios W'!B2:F2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'Table 2 - Financial Ratios W'!$B$27:$F$27</c:f>
              <c:numCache>
                <c:formatCode>0.00</c:formatCode>
                <c:ptCount val="5"/>
                <c:pt idx="0">
                  <c:v>4.5995598826353692E-2</c:v>
                </c:pt>
                <c:pt idx="1">
                  <c:v>1.8987043580683156E-2</c:v>
                </c:pt>
                <c:pt idx="2">
                  <c:v>3.840629152152835E-2</c:v>
                </c:pt>
                <c:pt idx="3" formatCode="0.00%">
                  <c:v>0.130552679583888</c:v>
                </c:pt>
                <c:pt idx="4" formatCode="0.00%">
                  <c:v>2.5336734376458146E-2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F7A-4032-AB5C-FBB455FEA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77608"/>
        <c:axId val="42783752"/>
      </c:lineChart>
      <c:catAx>
        <c:axId val="42777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83752"/>
        <c:crosses val="autoZero"/>
        <c:auto val="1"/>
        <c:lblAlgn val="ctr"/>
        <c:lblOffset val="100"/>
        <c:noMultiLvlLbl val="0"/>
      </c:catAx>
      <c:valAx>
        <c:axId val="4278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77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8</xdr:row>
      <xdr:rowOff>9525</xdr:rowOff>
    </xdr:from>
    <xdr:to>
      <xdr:col>14</xdr:col>
      <xdr:colOff>142875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E6FF52-9C46-B443-B08E-F0490F3A8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73F4702-EC0F-44FE-8215-DD056006DD12}">
  <we:reference id="wa200005502" version="1.0.0.9" store="en-US" storeType="omex"/>
  <we:alternateReferences>
    <we:reference id="wa200005502" version="1.0.0.9" store="en-US" storeType="omex"/>
  </we:alternateReferences>
  <we:properties>
    <we:property name="docId" value="&quot;4xAhE-wwur6FZG3buleq7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1"/>
  <sheetViews>
    <sheetView showGridLines="0" tabSelected="1" topLeftCell="A71" workbookViewId="0">
      <selection activeCell="H93" sqref="H93"/>
    </sheetView>
  </sheetViews>
  <sheetFormatPr defaultColWidth="8.85546875" defaultRowHeight="12.75"/>
  <cols>
    <col min="1" max="1" width="50" customWidth="1"/>
    <col min="2" max="2" width="12" style="21" customWidth="1"/>
    <col min="3" max="3" width="12.28515625" style="14" customWidth="1"/>
    <col min="4" max="6" width="12" style="14" customWidth="1"/>
    <col min="7" max="7" width="31.28515625" customWidth="1"/>
    <col min="8" max="197" width="12" customWidth="1"/>
  </cols>
  <sheetData>
    <row r="1" spans="1:17" ht="20.65">
      <c r="A1" s="1" t="s">
        <v>0</v>
      </c>
    </row>
    <row r="3" spans="1:17" ht="14.25">
      <c r="A3" s="7"/>
      <c r="B3" s="15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6"/>
      <c r="H3" s="57"/>
      <c r="I3" s="57"/>
      <c r="J3" s="57"/>
      <c r="K3" s="57"/>
      <c r="L3" s="57"/>
      <c r="M3" s="57"/>
      <c r="N3" s="11"/>
      <c r="P3" s="57"/>
      <c r="Q3" s="57"/>
    </row>
    <row r="4" spans="1:17" ht="14.65">
      <c r="A4" s="13" t="s">
        <v>6</v>
      </c>
    </row>
    <row r="5" spans="1:17" ht="13.15">
      <c r="A5" s="8" t="s">
        <v>7</v>
      </c>
      <c r="B5" s="22">
        <v>1066000</v>
      </c>
      <c r="C5" s="17">
        <v>2068000</v>
      </c>
      <c r="D5" s="18">
        <v>1009000</v>
      </c>
      <c r="E5" s="18">
        <v>1032000</v>
      </c>
      <c r="F5" s="18">
        <v>1135000</v>
      </c>
      <c r="H5" s="2"/>
    </row>
    <row r="6" spans="1:17" ht="13.15">
      <c r="A6" s="8" t="s">
        <v>8</v>
      </c>
      <c r="B6" s="22">
        <v>132000</v>
      </c>
      <c r="C6" s="17">
        <v>138000</v>
      </c>
      <c r="D6" s="18">
        <v>137000</v>
      </c>
      <c r="E6" s="18">
        <v>278000</v>
      </c>
      <c r="F6" s="18">
        <v>395000</v>
      </c>
      <c r="H6" s="2"/>
    </row>
    <row r="7" spans="1:17" ht="13.15">
      <c r="A7" s="8" t="s">
        <v>9</v>
      </c>
      <c r="B7" s="22">
        <v>-11000</v>
      </c>
      <c r="C7" s="17">
        <v>-10000</v>
      </c>
      <c r="D7" s="18">
        <v>-6000</v>
      </c>
      <c r="E7" s="18">
        <v>-5000</v>
      </c>
      <c r="F7" s="18">
        <v>-4000</v>
      </c>
      <c r="H7" s="2"/>
    </row>
    <row r="8" spans="1:17" ht="13.15">
      <c r="A8" s="8" t="s">
        <v>10</v>
      </c>
      <c r="B8" s="22">
        <v>121000</v>
      </c>
      <c r="C8" s="17">
        <v>128000</v>
      </c>
      <c r="D8" s="18">
        <v>131000</v>
      </c>
      <c r="E8" s="18">
        <v>273000</v>
      </c>
      <c r="F8" s="18">
        <v>391000</v>
      </c>
      <c r="H8" s="2"/>
    </row>
    <row r="9" spans="1:17" ht="13.15">
      <c r="A9" s="8" t="s">
        <v>11</v>
      </c>
      <c r="B9" s="22">
        <v>358000</v>
      </c>
      <c r="C9" s="17">
        <v>429000</v>
      </c>
      <c r="D9" s="18">
        <v>358000</v>
      </c>
      <c r="E9" s="18">
        <v>586000</v>
      </c>
      <c r="F9" s="18" t="s">
        <v>12</v>
      </c>
      <c r="H9" s="2"/>
    </row>
    <row r="10" spans="1:17">
      <c r="A10" s="8" t="s">
        <v>13</v>
      </c>
      <c r="B10" s="22">
        <v>-9000</v>
      </c>
      <c r="C10" s="17">
        <v>-9000</v>
      </c>
      <c r="D10" s="18">
        <v>-9000</v>
      </c>
      <c r="E10" s="18">
        <v>-3000</v>
      </c>
      <c r="F10" s="18" t="s">
        <v>12</v>
      </c>
      <c r="H10" s="3"/>
    </row>
    <row r="11" spans="1:17">
      <c r="A11" s="8" t="s">
        <v>14</v>
      </c>
      <c r="B11" s="22">
        <v>349000</v>
      </c>
      <c r="C11" s="17">
        <v>420000</v>
      </c>
      <c r="D11" s="18">
        <v>349000</v>
      </c>
      <c r="E11" s="18">
        <v>583000</v>
      </c>
      <c r="F11" s="18">
        <v>625000</v>
      </c>
      <c r="H11" s="3"/>
    </row>
    <row r="12" spans="1:17">
      <c r="A12" s="8" t="s">
        <v>15</v>
      </c>
      <c r="B12" s="22">
        <v>212000</v>
      </c>
      <c r="C12" s="17">
        <v>192000</v>
      </c>
      <c r="D12" s="18">
        <v>169000</v>
      </c>
      <c r="E12" s="18">
        <v>188000</v>
      </c>
      <c r="F12" s="18" t="s">
        <v>12</v>
      </c>
      <c r="H12" s="3"/>
    </row>
    <row r="13" spans="1:17">
      <c r="A13" s="8" t="s">
        <v>16</v>
      </c>
      <c r="B13" s="22">
        <v>682000</v>
      </c>
      <c r="C13" s="17">
        <v>740000</v>
      </c>
      <c r="D13" s="18">
        <v>649000</v>
      </c>
      <c r="E13" s="18">
        <v>1044000</v>
      </c>
      <c r="F13" s="18">
        <v>1016000</v>
      </c>
      <c r="H13" s="3"/>
    </row>
    <row r="14" spans="1:17">
      <c r="A14" s="8" t="s">
        <v>17</v>
      </c>
      <c r="B14" s="22">
        <v>4280000</v>
      </c>
      <c r="C14" s="17">
        <v>4434000</v>
      </c>
      <c r="D14" s="18">
        <v>3132000</v>
      </c>
      <c r="E14" s="18">
        <v>3593000</v>
      </c>
      <c r="F14" s="18">
        <v>3698000</v>
      </c>
      <c r="H14" s="3"/>
    </row>
    <row r="15" spans="1:17">
      <c r="A15" s="8" t="s">
        <v>18</v>
      </c>
      <c r="B15" s="22">
        <v>45000</v>
      </c>
      <c r="C15" s="17">
        <v>534000</v>
      </c>
      <c r="D15" s="18">
        <v>19000</v>
      </c>
      <c r="E15" s="18">
        <v>106000</v>
      </c>
      <c r="F15" s="18">
        <v>51000</v>
      </c>
      <c r="H15" s="3"/>
    </row>
    <row r="16" spans="1:17">
      <c r="A16" s="8" t="s">
        <v>19</v>
      </c>
      <c r="B16" s="22" t="s">
        <v>12</v>
      </c>
      <c r="C16" s="17" t="s">
        <v>12</v>
      </c>
      <c r="D16" s="18" t="s">
        <v>12</v>
      </c>
      <c r="E16" s="18" t="s">
        <v>12</v>
      </c>
      <c r="F16" s="18">
        <v>49000</v>
      </c>
      <c r="H16" s="3"/>
    </row>
    <row r="17" spans="1:8">
      <c r="A17" s="8" t="s">
        <v>20</v>
      </c>
      <c r="B17" s="22" t="s">
        <v>12</v>
      </c>
      <c r="C17" s="17" t="s">
        <v>12</v>
      </c>
      <c r="D17" s="18" t="s">
        <v>12</v>
      </c>
      <c r="E17" s="18" t="s">
        <v>12</v>
      </c>
      <c r="F17" s="18">
        <v>161000</v>
      </c>
      <c r="H17" s="3"/>
    </row>
    <row r="18" spans="1:8">
      <c r="A18" s="8" t="s">
        <v>21</v>
      </c>
      <c r="B18" s="22" t="s">
        <v>12</v>
      </c>
      <c r="C18" s="17" t="s">
        <v>12</v>
      </c>
      <c r="D18" s="18" t="s">
        <v>12</v>
      </c>
      <c r="E18" s="18" t="s">
        <v>12</v>
      </c>
      <c r="F18" s="18">
        <v>15000</v>
      </c>
      <c r="H18" s="3"/>
    </row>
    <row r="19" spans="1:8">
      <c r="A19" s="8" t="s">
        <v>22</v>
      </c>
      <c r="B19" s="22" t="s">
        <v>12</v>
      </c>
      <c r="C19" s="17">
        <v>16000</v>
      </c>
      <c r="D19" s="18">
        <v>18000</v>
      </c>
      <c r="E19" s="18">
        <v>48000</v>
      </c>
      <c r="F19" s="18">
        <v>225000</v>
      </c>
      <c r="H19" s="3"/>
    </row>
    <row r="20" spans="1:8">
      <c r="A20" s="8" t="s">
        <v>23</v>
      </c>
      <c r="B20" s="22">
        <v>6073000</v>
      </c>
      <c r="C20" s="17">
        <v>7792000</v>
      </c>
      <c r="D20" s="18">
        <v>4827000</v>
      </c>
      <c r="E20" s="18">
        <v>5823000</v>
      </c>
      <c r="F20" s="18">
        <v>6125000</v>
      </c>
      <c r="H20" s="3"/>
    </row>
    <row r="21" spans="1:8">
      <c r="A21" s="8" t="s">
        <v>24</v>
      </c>
      <c r="B21" s="22">
        <v>225000</v>
      </c>
      <c r="C21" s="17">
        <v>333000</v>
      </c>
      <c r="D21" s="18">
        <v>10959000</v>
      </c>
      <c r="E21" s="18">
        <v>287000</v>
      </c>
      <c r="F21" s="18">
        <v>250000</v>
      </c>
      <c r="H21" s="3"/>
    </row>
    <row r="22" spans="1:8">
      <c r="A22" s="9" t="s">
        <v>25</v>
      </c>
      <c r="B22" s="23">
        <v>6298000</v>
      </c>
      <c r="C22" s="19">
        <v>8125000</v>
      </c>
      <c r="D22" s="20">
        <v>15786000</v>
      </c>
      <c r="E22" s="20">
        <v>6110000</v>
      </c>
      <c r="F22" s="20">
        <v>6375000</v>
      </c>
      <c r="H22" s="3"/>
    </row>
    <row r="23" spans="1:8">
      <c r="A23" s="8" t="s">
        <v>15</v>
      </c>
      <c r="B23" s="22">
        <v>42000</v>
      </c>
      <c r="C23" s="17">
        <v>40000</v>
      </c>
      <c r="D23" s="18" t="s">
        <v>12</v>
      </c>
      <c r="E23" s="18" t="s">
        <v>12</v>
      </c>
      <c r="F23" s="18" t="s">
        <v>12</v>
      </c>
      <c r="H23" s="3"/>
    </row>
    <row r="24" spans="1:8">
      <c r="A24" s="8" t="s">
        <v>14</v>
      </c>
      <c r="B24" s="22">
        <v>103000</v>
      </c>
      <c r="C24" s="17">
        <v>114000</v>
      </c>
      <c r="D24" s="18">
        <v>133000</v>
      </c>
      <c r="E24" s="18">
        <v>159000</v>
      </c>
      <c r="F24" s="18" t="s">
        <v>12</v>
      </c>
      <c r="H24" s="3"/>
    </row>
    <row r="25" spans="1:8">
      <c r="A25" s="8" t="s">
        <v>16</v>
      </c>
      <c r="B25" s="22">
        <v>145000</v>
      </c>
      <c r="C25" s="17">
        <v>154000</v>
      </c>
      <c r="D25" s="18">
        <v>133000</v>
      </c>
      <c r="E25" s="18">
        <v>159000</v>
      </c>
      <c r="F25" s="18">
        <v>132000</v>
      </c>
      <c r="H25" s="3"/>
    </row>
    <row r="26" spans="1:8">
      <c r="A26" s="8" t="s">
        <v>18</v>
      </c>
      <c r="B26" s="22">
        <v>692000</v>
      </c>
      <c r="C26" s="17">
        <v>168000</v>
      </c>
      <c r="D26" s="18">
        <v>105000</v>
      </c>
      <c r="E26" s="18">
        <v>95000</v>
      </c>
      <c r="F26" s="18">
        <v>140000</v>
      </c>
      <c r="H26" s="3"/>
    </row>
    <row r="27" spans="1:8">
      <c r="A27" s="8" t="s">
        <v>26</v>
      </c>
      <c r="B27" s="22" t="s">
        <v>12</v>
      </c>
      <c r="C27" s="17">
        <v>12062000</v>
      </c>
      <c r="D27" s="18">
        <v>9553000</v>
      </c>
      <c r="E27" s="18">
        <v>9995000</v>
      </c>
      <c r="F27" s="18">
        <v>9467000</v>
      </c>
      <c r="H27" s="3"/>
    </row>
    <row r="28" spans="1:8">
      <c r="A28" s="8" t="s">
        <v>27</v>
      </c>
      <c r="B28" s="22">
        <v>16983000</v>
      </c>
      <c r="C28" s="17">
        <v>16996000</v>
      </c>
      <c r="D28" s="18">
        <v>14813000</v>
      </c>
      <c r="E28" s="18">
        <v>16197000</v>
      </c>
      <c r="F28" s="18">
        <v>17601000</v>
      </c>
      <c r="H28" s="3"/>
    </row>
    <row r="29" spans="1:8">
      <c r="A29" s="8" t="s">
        <v>28</v>
      </c>
      <c r="B29" s="22">
        <v>-7464000</v>
      </c>
      <c r="C29" s="17">
        <v>-8254000</v>
      </c>
      <c r="D29" s="18">
        <v>-7336000</v>
      </c>
      <c r="E29" s="18">
        <v>-7966000</v>
      </c>
      <c r="F29" s="18">
        <v>-8720000</v>
      </c>
      <c r="H29" s="3"/>
    </row>
    <row r="30" spans="1:8">
      <c r="A30" s="8" t="s">
        <v>29</v>
      </c>
      <c r="B30" s="22">
        <v>9519000</v>
      </c>
      <c r="C30" s="17">
        <v>8742000</v>
      </c>
      <c r="D30" s="18">
        <v>7477000</v>
      </c>
      <c r="E30" s="18">
        <v>8231000</v>
      </c>
      <c r="F30" s="18">
        <v>8881000</v>
      </c>
      <c r="H30" s="3"/>
    </row>
    <row r="31" spans="1:8">
      <c r="A31" s="8" t="s">
        <v>30</v>
      </c>
      <c r="B31" s="22">
        <v>4217000</v>
      </c>
      <c r="C31" s="17">
        <v>4196000</v>
      </c>
      <c r="D31" s="18">
        <v>2881000</v>
      </c>
      <c r="E31" s="18">
        <v>3198000</v>
      </c>
      <c r="F31" s="18">
        <v>3504000</v>
      </c>
      <c r="H31" s="3"/>
    </row>
    <row r="32" spans="1:8">
      <c r="A32" s="8" t="s">
        <v>31</v>
      </c>
      <c r="B32" s="22">
        <v>254000</v>
      </c>
      <c r="C32" s="17">
        <v>259000</v>
      </c>
      <c r="D32" s="18">
        <v>265000</v>
      </c>
      <c r="E32" s="18">
        <v>305000</v>
      </c>
      <c r="F32" s="18">
        <v>319000</v>
      </c>
      <c r="H32" s="3"/>
    </row>
    <row r="33" spans="1:8">
      <c r="A33" s="8" t="s">
        <v>32</v>
      </c>
      <c r="B33" s="22" t="s">
        <v>12</v>
      </c>
      <c r="C33" s="17">
        <v>1219000</v>
      </c>
      <c r="D33" s="18">
        <v>1358000</v>
      </c>
      <c r="E33" s="18">
        <v>1484000</v>
      </c>
      <c r="F33" s="18">
        <v>1554000</v>
      </c>
      <c r="H33" s="3"/>
    </row>
    <row r="34" spans="1:8">
      <c r="A34" s="8" t="s">
        <v>33</v>
      </c>
      <c r="B34" s="22" t="s">
        <v>12</v>
      </c>
      <c r="C34" s="17" t="s">
        <v>12</v>
      </c>
      <c r="D34" s="18" t="s">
        <v>12</v>
      </c>
      <c r="E34" s="18" t="s">
        <v>12</v>
      </c>
      <c r="F34" s="18">
        <v>211000</v>
      </c>
      <c r="H34" s="3"/>
    </row>
    <row r="35" spans="1:8">
      <c r="A35" s="8" t="s">
        <v>34</v>
      </c>
      <c r="B35" s="22" t="s">
        <v>12</v>
      </c>
      <c r="C35" s="17" t="s">
        <v>12</v>
      </c>
      <c r="D35" s="18">
        <v>167000</v>
      </c>
      <c r="E35" s="18">
        <v>291000</v>
      </c>
      <c r="F35" s="18">
        <v>105000</v>
      </c>
      <c r="H35" s="3"/>
    </row>
    <row r="36" spans="1:8">
      <c r="A36" s="8" t="s">
        <v>35</v>
      </c>
      <c r="B36" s="22">
        <v>2055000</v>
      </c>
      <c r="C36" s="17">
        <v>2043000</v>
      </c>
      <c r="D36" s="18" t="s">
        <v>12</v>
      </c>
      <c r="E36" s="18" t="s">
        <v>12</v>
      </c>
      <c r="F36" s="18" t="s">
        <v>12</v>
      </c>
      <c r="H36" s="3"/>
    </row>
    <row r="37" spans="1:8">
      <c r="A37" s="8" t="s">
        <v>36</v>
      </c>
      <c r="B37" s="22">
        <v>6526000</v>
      </c>
      <c r="C37" s="17">
        <v>7717000</v>
      </c>
      <c r="D37" s="18">
        <v>4671000</v>
      </c>
      <c r="E37" s="18">
        <v>5278000</v>
      </c>
      <c r="F37" s="18">
        <v>5693000</v>
      </c>
      <c r="H37" s="3"/>
    </row>
    <row r="38" spans="1:8">
      <c r="A38" s="8" t="s">
        <v>37</v>
      </c>
      <c r="B38" s="22" t="s">
        <v>12</v>
      </c>
      <c r="C38" s="17" t="s">
        <v>12</v>
      </c>
      <c r="D38" s="18" t="s">
        <v>12</v>
      </c>
      <c r="E38" s="18">
        <v>1691000</v>
      </c>
      <c r="F38" s="18">
        <v>1123000</v>
      </c>
      <c r="H38" s="3"/>
    </row>
    <row r="39" spans="1:8">
      <c r="A39" s="8" t="s">
        <v>38</v>
      </c>
      <c r="B39" s="22" t="s">
        <v>12</v>
      </c>
      <c r="C39" s="17" t="s">
        <v>12</v>
      </c>
      <c r="D39" s="18">
        <v>30000</v>
      </c>
      <c r="E39" s="18" t="s">
        <v>12</v>
      </c>
      <c r="F39" s="18" t="s">
        <v>12</v>
      </c>
      <c r="H39" s="3"/>
    </row>
    <row r="40" spans="1:8">
      <c r="A40" s="8" t="s">
        <v>39</v>
      </c>
      <c r="B40" s="22">
        <v>311000</v>
      </c>
      <c r="C40" s="17">
        <v>1327000</v>
      </c>
      <c r="D40" s="18">
        <v>1371000</v>
      </c>
      <c r="E40" s="18">
        <v>1337000</v>
      </c>
      <c r="F40" s="18">
        <v>1478000</v>
      </c>
      <c r="H40" s="3"/>
    </row>
    <row r="41" spans="1:8">
      <c r="A41" s="8" t="s">
        <v>21</v>
      </c>
      <c r="B41" s="22" t="s">
        <v>12</v>
      </c>
      <c r="C41" s="17">
        <v>177000</v>
      </c>
      <c r="D41" s="18">
        <v>110000</v>
      </c>
      <c r="E41" s="18">
        <v>377000</v>
      </c>
      <c r="F41" s="18">
        <v>359000</v>
      </c>
      <c r="H41" s="3"/>
    </row>
    <row r="42" spans="1:8">
      <c r="A42" s="9" t="s">
        <v>40</v>
      </c>
      <c r="B42" s="23">
        <v>17193000</v>
      </c>
      <c r="C42" s="19">
        <v>30347000</v>
      </c>
      <c r="D42" s="20">
        <v>23450000</v>
      </c>
      <c r="E42" s="20">
        <v>27163000</v>
      </c>
      <c r="F42" s="20">
        <v>27273000</v>
      </c>
      <c r="H42" s="3"/>
    </row>
    <row r="43" spans="1:8">
      <c r="A43" s="9" t="s">
        <v>41</v>
      </c>
      <c r="B43" s="23">
        <v>23491000</v>
      </c>
      <c r="C43" s="19">
        <v>38472000</v>
      </c>
      <c r="D43" s="20">
        <v>39236000</v>
      </c>
      <c r="E43" s="20">
        <v>33273000</v>
      </c>
      <c r="F43" s="20">
        <v>33648000</v>
      </c>
      <c r="H43" s="3"/>
    </row>
    <row r="44" spans="1:8">
      <c r="A44" s="8" t="s">
        <v>42</v>
      </c>
      <c r="B44" s="22">
        <v>5219000</v>
      </c>
      <c r="C44" s="17">
        <v>5843000</v>
      </c>
      <c r="D44" s="18">
        <v>4832000</v>
      </c>
      <c r="E44" s="18">
        <v>5216000</v>
      </c>
      <c r="F44" s="18">
        <v>5621000</v>
      </c>
      <c r="H44" s="3"/>
    </row>
    <row r="45" spans="1:8">
      <c r="A45" s="8" t="s">
        <v>43</v>
      </c>
      <c r="B45" s="22">
        <v>1242000</v>
      </c>
      <c r="C45" s="17">
        <v>1415000</v>
      </c>
      <c r="D45" s="18">
        <v>1271000</v>
      </c>
      <c r="E45" s="18">
        <v>1350000</v>
      </c>
      <c r="F45" s="18">
        <v>1511000</v>
      </c>
      <c r="H45" s="3"/>
    </row>
    <row r="46" spans="1:8">
      <c r="A46" s="8" t="s">
        <v>44</v>
      </c>
      <c r="B46" s="22" t="s">
        <v>12</v>
      </c>
      <c r="C46" s="17">
        <v>250000</v>
      </c>
      <c r="D46" s="18">
        <v>364000</v>
      </c>
      <c r="E46" s="18">
        <v>436000</v>
      </c>
      <c r="F46" s="18">
        <v>491000</v>
      </c>
      <c r="H46" s="3"/>
    </row>
    <row r="47" spans="1:8">
      <c r="A47" s="8" t="s">
        <v>45</v>
      </c>
      <c r="B47" s="22">
        <v>215000</v>
      </c>
      <c r="C47" s="17" t="s">
        <v>12</v>
      </c>
      <c r="D47" s="18" t="s">
        <v>12</v>
      </c>
      <c r="E47" s="18" t="s">
        <v>12</v>
      </c>
      <c r="F47" s="18" t="s">
        <v>12</v>
      </c>
      <c r="H47" s="3"/>
    </row>
    <row r="48" spans="1:8">
      <c r="A48" s="8" t="s">
        <v>46</v>
      </c>
      <c r="B48" s="22">
        <v>6676000</v>
      </c>
      <c r="C48" s="17">
        <v>7508000</v>
      </c>
      <c r="D48" s="18">
        <v>6467000</v>
      </c>
      <c r="E48" s="18">
        <v>7002000</v>
      </c>
      <c r="F48" s="18">
        <v>7623000</v>
      </c>
      <c r="H48" s="3"/>
    </row>
    <row r="49" spans="1:8">
      <c r="A49" s="8" t="s">
        <v>47</v>
      </c>
      <c r="B49" s="22" t="s">
        <v>12</v>
      </c>
      <c r="C49" s="17">
        <v>1560000</v>
      </c>
      <c r="D49" s="18">
        <v>1495000</v>
      </c>
      <c r="E49" s="18">
        <v>1572000</v>
      </c>
      <c r="F49" s="18">
        <v>1637000</v>
      </c>
      <c r="H49" s="3"/>
    </row>
    <row r="50" spans="1:8">
      <c r="A50" s="8" t="s">
        <v>48</v>
      </c>
      <c r="B50" s="22">
        <v>39000</v>
      </c>
      <c r="C50" s="17" t="s">
        <v>12</v>
      </c>
      <c r="D50" s="18">
        <v>44000</v>
      </c>
      <c r="E50" s="18">
        <v>336000</v>
      </c>
      <c r="F50" s="18" t="s">
        <v>12</v>
      </c>
      <c r="H50" s="3"/>
    </row>
    <row r="51" spans="1:8">
      <c r="A51" s="8" t="s">
        <v>49</v>
      </c>
      <c r="B51" s="22">
        <v>235000</v>
      </c>
      <c r="C51" s="17">
        <v>220000</v>
      </c>
      <c r="D51" s="18">
        <v>75000</v>
      </c>
      <c r="E51" s="18">
        <v>18000</v>
      </c>
      <c r="F51" s="18" t="s">
        <v>12</v>
      </c>
      <c r="H51" s="3"/>
    </row>
    <row r="52" spans="1:8">
      <c r="A52" s="8" t="s">
        <v>50</v>
      </c>
      <c r="B52" s="22" t="s">
        <v>12</v>
      </c>
      <c r="C52" s="17">
        <v>1807000</v>
      </c>
      <c r="D52" s="18" t="s">
        <v>12</v>
      </c>
      <c r="E52" s="18" t="s">
        <v>12</v>
      </c>
      <c r="F52" s="18" t="s">
        <v>12</v>
      </c>
      <c r="H52" s="3"/>
    </row>
    <row r="53" spans="1:8">
      <c r="A53" s="8" t="s">
        <v>51</v>
      </c>
      <c r="B53" s="22">
        <v>274000</v>
      </c>
      <c r="C53" s="17">
        <v>2027000</v>
      </c>
      <c r="D53" s="18">
        <v>119000</v>
      </c>
      <c r="E53" s="18">
        <v>354000</v>
      </c>
      <c r="F53" s="18">
        <v>466000</v>
      </c>
      <c r="H53" s="3"/>
    </row>
    <row r="54" spans="1:8">
      <c r="A54" s="8" t="s">
        <v>52</v>
      </c>
      <c r="B54" s="22">
        <v>84000</v>
      </c>
      <c r="C54" s="17">
        <v>131000</v>
      </c>
      <c r="D54" s="18">
        <v>252000</v>
      </c>
      <c r="E54" s="18">
        <v>12000</v>
      </c>
      <c r="F54" s="18">
        <v>230000</v>
      </c>
      <c r="H54" s="3"/>
    </row>
    <row r="55" spans="1:8">
      <c r="A55" s="8" t="s">
        <v>53</v>
      </c>
      <c r="B55" s="22">
        <v>58000</v>
      </c>
      <c r="C55" s="17">
        <v>84000</v>
      </c>
      <c r="D55" s="18">
        <v>165000</v>
      </c>
      <c r="E55" s="18">
        <v>109000</v>
      </c>
      <c r="F55" s="18">
        <v>269000</v>
      </c>
      <c r="H55" s="3"/>
    </row>
    <row r="56" spans="1:8">
      <c r="A56" s="8" t="s">
        <v>54</v>
      </c>
      <c r="B56" s="22">
        <v>1528000</v>
      </c>
      <c r="C56" s="17">
        <v>1881000</v>
      </c>
      <c r="D56" s="18">
        <v>1518000</v>
      </c>
      <c r="E56" s="18">
        <v>1680000</v>
      </c>
      <c r="F56" s="18">
        <v>1640000</v>
      </c>
      <c r="H56" s="3"/>
    </row>
    <row r="57" spans="1:8">
      <c r="A57" s="8" t="s">
        <v>55</v>
      </c>
      <c r="B57" s="22" t="s">
        <v>12</v>
      </c>
      <c r="C57" s="17" t="s">
        <v>12</v>
      </c>
      <c r="D57" s="18">
        <v>7870000</v>
      </c>
      <c r="E57" s="18" t="s">
        <v>12</v>
      </c>
      <c r="F57" s="18">
        <v>21000</v>
      </c>
      <c r="H57" s="3"/>
    </row>
    <row r="58" spans="1:8" ht="19.5">
      <c r="A58" s="8" t="s">
        <v>56</v>
      </c>
      <c r="B58" s="22">
        <v>8620000</v>
      </c>
      <c r="C58" s="17" t="s">
        <v>12</v>
      </c>
      <c r="D58" s="18">
        <v>17886000</v>
      </c>
      <c r="E58" s="18">
        <v>10729000</v>
      </c>
      <c r="F58" s="18">
        <v>11886000</v>
      </c>
      <c r="H58" s="3"/>
    </row>
    <row r="59" spans="1:8">
      <c r="A59" s="8" t="s">
        <v>57</v>
      </c>
      <c r="B59" s="22" t="s">
        <v>12</v>
      </c>
      <c r="C59" s="17" t="s">
        <v>12</v>
      </c>
      <c r="D59" s="18">
        <v>5231000</v>
      </c>
      <c r="E59" s="18">
        <v>21000</v>
      </c>
      <c r="F59" s="18" t="s">
        <v>12</v>
      </c>
      <c r="H59" s="3"/>
    </row>
    <row r="60" spans="1:8">
      <c r="A60" s="9" t="s">
        <v>58</v>
      </c>
      <c r="B60" s="23">
        <v>8620000</v>
      </c>
      <c r="C60" s="19">
        <v>13191000</v>
      </c>
      <c r="D60" s="20">
        <v>23117000</v>
      </c>
      <c r="E60" s="20">
        <v>10750000</v>
      </c>
      <c r="F60" s="20">
        <v>11886000</v>
      </c>
      <c r="H60" s="3"/>
    </row>
    <row r="61" spans="1:8">
      <c r="A61" s="8" t="s">
        <v>47</v>
      </c>
      <c r="B61" s="22" t="s">
        <v>12</v>
      </c>
      <c r="C61" s="17">
        <v>13168000</v>
      </c>
      <c r="D61" s="18">
        <v>10521000</v>
      </c>
      <c r="E61" s="18">
        <v>10899000</v>
      </c>
      <c r="F61" s="18">
        <v>10343000</v>
      </c>
      <c r="H61" s="3"/>
    </row>
    <row r="62" spans="1:8">
      <c r="A62" s="8" t="s">
        <v>49</v>
      </c>
      <c r="B62" s="22">
        <v>678000</v>
      </c>
      <c r="C62" s="17">
        <v>500000</v>
      </c>
      <c r="D62" s="18">
        <v>1350000</v>
      </c>
      <c r="E62" s="18">
        <v>1168000</v>
      </c>
      <c r="F62" s="18" t="s">
        <v>12</v>
      </c>
      <c r="H62" s="3"/>
    </row>
    <row r="63" spans="1:8">
      <c r="A63" s="8" t="s">
        <v>50</v>
      </c>
      <c r="B63" s="22">
        <v>2178000</v>
      </c>
      <c r="C63" s="17">
        <v>1420000</v>
      </c>
      <c r="D63" s="18">
        <v>1416000</v>
      </c>
      <c r="E63" s="18">
        <v>2791000</v>
      </c>
      <c r="F63" s="18" t="s">
        <v>12</v>
      </c>
      <c r="H63" s="3"/>
    </row>
    <row r="64" spans="1:8">
      <c r="A64" s="8" t="s">
        <v>59</v>
      </c>
      <c r="B64" s="22">
        <v>-4000</v>
      </c>
      <c r="C64" s="17">
        <v>-16000</v>
      </c>
      <c r="D64" s="18">
        <v>-13000</v>
      </c>
      <c r="E64" s="18">
        <v>-21000</v>
      </c>
      <c r="F64" s="18" t="s">
        <v>12</v>
      </c>
      <c r="H64" s="3"/>
    </row>
    <row r="65" spans="1:8">
      <c r="A65" s="8" t="s">
        <v>60</v>
      </c>
      <c r="B65" s="22">
        <v>3000</v>
      </c>
      <c r="C65" s="17" t="s">
        <v>12</v>
      </c>
      <c r="D65" s="18" t="s">
        <v>12</v>
      </c>
      <c r="E65" s="18" t="s">
        <v>12</v>
      </c>
      <c r="F65" s="18" t="s">
        <v>12</v>
      </c>
      <c r="H65" s="3"/>
    </row>
    <row r="66" spans="1:8">
      <c r="A66" s="8" t="s">
        <v>51</v>
      </c>
      <c r="B66" s="22">
        <v>2855000</v>
      </c>
      <c r="C66" s="17">
        <v>1904000</v>
      </c>
      <c r="D66" s="18">
        <v>2753000</v>
      </c>
      <c r="E66" s="18">
        <v>3938000</v>
      </c>
      <c r="F66" s="18">
        <v>3289000</v>
      </c>
      <c r="H66" s="3"/>
    </row>
    <row r="67" spans="1:8">
      <c r="A67" s="8" t="s">
        <v>53</v>
      </c>
      <c r="B67" s="22">
        <v>24000</v>
      </c>
      <c r="C67" s="17">
        <v>3000</v>
      </c>
      <c r="D67" s="18">
        <v>251000</v>
      </c>
      <c r="E67" s="18">
        <v>690000</v>
      </c>
      <c r="F67" s="18">
        <v>669000</v>
      </c>
      <c r="H67" s="3"/>
    </row>
    <row r="68" spans="1:8">
      <c r="A68" s="8" t="s">
        <v>61</v>
      </c>
      <c r="B68" s="22" t="s">
        <v>12</v>
      </c>
      <c r="C68" s="17">
        <v>204000</v>
      </c>
      <c r="D68" s="18" t="s">
        <v>12</v>
      </c>
      <c r="E68" s="18" t="s">
        <v>12</v>
      </c>
      <c r="F68" s="18" t="s">
        <v>12</v>
      </c>
      <c r="H68" s="3"/>
    </row>
    <row r="69" spans="1:8">
      <c r="A69" s="8" t="s">
        <v>54</v>
      </c>
      <c r="B69" s="22">
        <v>986000</v>
      </c>
      <c r="C69" s="17">
        <v>918000</v>
      </c>
      <c r="D69" s="18">
        <v>804000</v>
      </c>
      <c r="E69" s="18">
        <v>846000</v>
      </c>
      <c r="F69" s="18">
        <v>857000</v>
      </c>
      <c r="H69" s="3"/>
    </row>
    <row r="70" spans="1:8">
      <c r="A70" s="8" t="s">
        <v>62</v>
      </c>
      <c r="B70" s="22">
        <v>337000</v>
      </c>
      <c r="C70" s="17">
        <v>52000</v>
      </c>
      <c r="D70" s="18">
        <v>51000</v>
      </c>
      <c r="E70" s="18">
        <v>46000</v>
      </c>
      <c r="F70" s="18">
        <v>39000</v>
      </c>
      <c r="H70" s="3"/>
    </row>
    <row r="71" spans="1:8">
      <c r="A71" s="9" t="s">
        <v>63</v>
      </c>
      <c r="B71" s="23">
        <v>4202000</v>
      </c>
      <c r="C71" s="19">
        <v>16249000</v>
      </c>
      <c r="D71" s="20">
        <v>14380000</v>
      </c>
      <c r="E71" s="20">
        <v>16419000</v>
      </c>
      <c r="F71" s="20">
        <v>15197000</v>
      </c>
      <c r="H71" s="3"/>
    </row>
    <row r="72" spans="1:8">
      <c r="A72" s="9" t="s">
        <v>64</v>
      </c>
      <c r="B72" s="23">
        <v>12822000</v>
      </c>
      <c r="C72" s="19">
        <v>29440000</v>
      </c>
      <c r="D72" s="20">
        <v>37497000</v>
      </c>
      <c r="E72" s="20">
        <v>27169000</v>
      </c>
      <c r="F72" s="20">
        <v>27083000</v>
      </c>
      <c r="H72" s="3"/>
    </row>
    <row r="73" spans="1:8">
      <c r="A73" s="8" t="s">
        <v>65</v>
      </c>
      <c r="B73" s="22">
        <v>10669000</v>
      </c>
      <c r="C73" s="17">
        <v>9032000</v>
      </c>
      <c r="D73" s="18">
        <v>1739000</v>
      </c>
      <c r="E73" s="18">
        <v>6104000</v>
      </c>
      <c r="F73" s="18">
        <v>6565000</v>
      </c>
      <c r="H73" s="3"/>
    </row>
    <row r="74" spans="1:8">
      <c r="A74" s="8" t="s">
        <v>66</v>
      </c>
      <c r="B74" s="22">
        <v>6033000</v>
      </c>
      <c r="C74" s="17">
        <v>6197000</v>
      </c>
      <c r="D74" s="18">
        <v>5466000</v>
      </c>
      <c r="E74" s="18">
        <v>5379000</v>
      </c>
      <c r="F74" s="18">
        <v>5556000</v>
      </c>
      <c r="H74" s="3"/>
    </row>
    <row r="75" spans="1:8">
      <c r="A75" s="8" t="s">
        <v>67</v>
      </c>
      <c r="B75" s="22">
        <v>-205000</v>
      </c>
      <c r="C75" s="17">
        <v>-175000</v>
      </c>
      <c r="D75" s="18">
        <v>-213000</v>
      </c>
      <c r="E75" s="18">
        <v>-172000</v>
      </c>
      <c r="F75" s="18">
        <v>-150000</v>
      </c>
      <c r="H75" s="3"/>
    </row>
    <row r="76" spans="1:8">
      <c r="A76" s="8" t="s">
        <v>68</v>
      </c>
      <c r="B76" s="22">
        <v>5828000</v>
      </c>
      <c r="C76" s="17">
        <v>6022000</v>
      </c>
      <c r="D76" s="18">
        <v>5253000</v>
      </c>
      <c r="E76" s="18">
        <v>5207000</v>
      </c>
      <c r="F76" s="18">
        <v>5406000</v>
      </c>
      <c r="H76" s="3"/>
    </row>
    <row r="77" spans="1:8">
      <c r="A77" s="8" t="s">
        <v>69</v>
      </c>
      <c r="B77" s="22">
        <v>-29000</v>
      </c>
      <c r="C77" s="17" t="s">
        <v>12</v>
      </c>
      <c r="D77" s="18" t="s">
        <v>12</v>
      </c>
      <c r="E77" s="18" t="s">
        <v>12</v>
      </c>
      <c r="F77" s="18" t="s">
        <v>12</v>
      </c>
      <c r="H77" s="3"/>
    </row>
    <row r="78" spans="1:8">
      <c r="A78" s="8" t="s">
        <v>70</v>
      </c>
      <c r="B78" s="22">
        <v>134000</v>
      </c>
      <c r="C78" s="17" t="s">
        <v>12</v>
      </c>
      <c r="D78" s="18" t="s">
        <v>12</v>
      </c>
      <c r="E78" s="18" t="s">
        <v>12</v>
      </c>
      <c r="F78" s="18" t="s">
        <v>12</v>
      </c>
      <c r="H78" s="3"/>
    </row>
    <row r="79" spans="1:8">
      <c r="A79" s="8" t="s">
        <v>71</v>
      </c>
      <c r="B79" s="22">
        <v>335000</v>
      </c>
      <c r="C79" s="17" t="s">
        <v>12</v>
      </c>
      <c r="D79" s="18" t="s">
        <v>12</v>
      </c>
      <c r="E79" s="18" t="s">
        <v>12</v>
      </c>
      <c r="F79" s="18" t="s">
        <v>12</v>
      </c>
      <c r="H79" s="3"/>
    </row>
    <row r="80" spans="1:8">
      <c r="A80" s="8" t="s">
        <v>72</v>
      </c>
      <c r="B80" s="22">
        <v>17000</v>
      </c>
      <c r="C80" s="17" t="s">
        <v>12</v>
      </c>
      <c r="D80" s="18" t="s">
        <v>12</v>
      </c>
      <c r="E80" s="18" t="s">
        <v>12</v>
      </c>
      <c r="F80" s="18" t="s">
        <v>12</v>
      </c>
      <c r="H80" s="3"/>
    </row>
    <row r="81" spans="1:11">
      <c r="A81" s="8" t="s">
        <v>73</v>
      </c>
      <c r="B81" s="22">
        <v>33000</v>
      </c>
      <c r="C81" s="17" t="s">
        <v>12</v>
      </c>
      <c r="D81" s="18" t="s">
        <v>12</v>
      </c>
      <c r="E81" s="18" t="s">
        <v>12</v>
      </c>
      <c r="F81" s="18" t="s">
        <v>12</v>
      </c>
      <c r="H81" s="3"/>
    </row>
    <row r="82" spans="1:11">
      <c r="A82" s="8" t="s">
        <v>74</v>
      </c>
      <c r="B82" s="22">
        <v>490000</v>
      </c>
      <c r="C82" s="17">
        <v>391000</v>
      </c>
      <c r="D82" s="18">
        <v>-6989000</v>
      </c>
      <c r="E82" s="18">
        <v>-7400000</v>
      </c>
      <c r="F82" s="18">
        <v>-7567000</v>
      </c>
      <c r="H82" s="3"/>
    </row>
    <row r="83" spans="1:11">
      <c r="A83" s="8" t="s">
        <v>75</v>
      </c>
      <c r="B83" s="22">
        <v>3968000</v>
      </c>
      <c r="C83" s="17">
        <v>2329000</v>
      </c>
      <c r="D83" s="18">
        <v>3115000</v>
      </c>
      <c r="E83" s="18">
        <v>8173000</v>
      </c>
      <c r="F83" s="18">
        <v>8586000</v>
      </c>
      <c r="H83" s="3"/>
    </row>
    <row r="84" spans="1:11">
      <c r="A84" s="8" t="s">
        <v>76</v>
      </c>
      <c r="B84" s="22">
        <v>10286000</v>
      </c>
      <c r="C84" s="17">
        <v>8742000</v>
      </c>
      <c r="D84" s="18">
        <v>1379000</v>
      </c>
      <c r="E84" s="18">
        <v>5980000</v>
      </c>
      <c r="F84" s="18">
        <v>6425000</v>
      </c>
      <c r="H84" s="3"/>
    </row>
    <row r="85" spans="1:11">
      <c r="A85" s="8" t="s">
        <v>77</v>
      </c>
      <c r="B85" s="22">
        <v>383000</v>
      </c>
      <c r="C85" s="17">
        <v>290000</v>
      </c>
      <c r="D85" s="18">
        <v>360000</v>
      </c>
      <c r="E85" s="18">
        <v>124000</v>
      </c>
      <c r="F85" s="18">
        <v>140000</v>
      </c>
      <c r="H85" s="3"/>
    </row>
    <row r="86" spans="1:11">
      <c r="A86" s="9" t="s">
        <v>78</v>
      </c>
      <c r="B86" s="23">
        <v>10669000</v>
      </c>
      <c r="C86" s="19">
        <v>9032000</v>
      </c>
      <c r="D86" s="20">
        <v>1739000</v>
      </c>
      <c r="E86" s="20">
        <v>6104000</v>
      </c>
      <c r="F86" s="20">
        <v>6565000</v>
      </c>
      <c r="H86" s="3"/>
    </row>
    <row r="87" spans="1:11">
      <c r="A87" s="9"/>
      <c r="B87" s="23"/>
      <c r="C87" s="19"/>
      <c r="D87" s="20"/>
      <c r="E87" s="20"/>
      <c r="F87" s="20"/>
      <c r="H87" s="3"/>
    </row>
    <row r="88" spans="1:11" ht="13.15">
      <c r="B88" s="15" t="s">
        <v>1</v>
      </c>
      <c r="C88" s="16" t="s">
        <v>2</v>
      </c>
      <c r="D88" s="16" t="s">
        <v>3</v>
      </c>
      <c r="E88" s="16" t="s">
        <v>4</v>
      </c>
      <c r="F88" s="16" t="s">
        <v>5</v>
      </c>
      <c r="H88" s="3"/>
    </row>
    <row r="89" spans="1:11" ht="14.65">
      <c r="A89" s="13" t="s">
        <v>79</v>
      </c>
      <c r="B89" s="22"/>
      <c r="C89" s="17"/>
      <c r="D89" s="18"/>
      <c r="E89" s="18"/>
      <c r="F89" s="18"/>
      <c r="H89" s="3"/>
    </row>
    <row r="90" spans="1:11" ht="14.25">
      <c r="A90" s="8" t="s">
        <v>80</v>
      </c>
      <c r="B90" s="22">
        <v>59984000</v>
      </c>
      <c r="C90" s="17">
        <v>63675000</v>
      </c>
      <c r="D90" s="18">
        <v>55694000</v>
      </c>
      <c r="E90" s="18">
        <v>60849000</v>
      </c>
      <c r="F90" s="18">
        <v>64294000</v>
      </c>
      <c r="G90" s="58" t="s">
        <v>81</v>
      </c>
      <c r="H90" s="59">
        <f>(C90-B90)/B90*100</f>
        <v>6.1533075486796474</v>
      </c>
      <c r="I90" s="59">
        <f>(D90-C90)/C90*100</f>
        <v>-12.533961523360817</v>
      </c>
      <c r="J90" s="59">
        <f t="shared" ref="I90:K90" si="0">(E90-D90)/D90*100</f>
        <v>9.2559342119438366</v>
      </c>
      <c r="K90" s="59">
        <f t="shared" si="0"/>
        <v>5.6615556541602983</v>
      </c>
    </row>
    <row r="91" spans="1:11">
      <c r="A91" s="8" t="s">
        <v>82</v>
      </c>
      <c r="B91" s="22" t="s">
        <v>12</v>
      </c>
      <c r="C91" s="17" t="s">
        <v>12</v>
      </c>
      <c r="D91" s="18" t="s">
        <v>12</v>
      </c>
      <c r="E91" s="18" t="s">
        <v>12</v>
      </c>
      <c r="F91" s="18">
        <v>64294000</v>
      </c>
      <c r="H91" s="56"/>
    </row>
    <row r="92" spans="1:11">
      <c r="A92" s="8" t="s">
        <v>83</v>
      </c>
      <c r="B92" s="22">
        <v>-42542000</v>
      </c>
      <c r="C92" s="17">
        <v>-45105000</v>
      </c>
      <c r="D92" s="18">
        <v>-39366000</v>
      </c>
      <c r="E92" s="18">
        <v>-42807000</v>
      </c>
      <c r="F92" s="18">
        <v>-47118000</v>
      </c>
      <c r="G92" s="58" t="s">
        <v>84</v>
      </c>
      <c r="H92" s="59">
        <f>(F92-E92)/E92*100</f>
        <v>10.070782815894596</v>
      </c>
    </row>
    <row r="93" spans="1:11" ht="14.25">
      <c r="A93" s="8" t="s">
        <v>85</v>
      </c>
      <c r="B93" s="22">
        <v>17442000</v>
      </c>
      <c r="C93" s="17">
        <v>18570000</v>
      </c>
      <c r="D93" s="18">
        <v>16328000</v>
      </c>
      <c r="E93" s="18">
        <v>18042000</v>
      </c>
      <c r="F93" s="18">
        <v>17176000</v>
      </c>
    </row>
    <row r="94" spans="1:11">
      <c r="A94" s="8" t="s">
        <v>86</v>
      </c>
      <c r="B94" s="22">
        <v>288000</v>
      </c>
      <c r="C94" s="17">
        <v>175000</v>
      </c>
      <c r="D94" s="18">
        <v>117000</v>
      </c>
      <c r="E94" s="18">
        <v>297000</v>
      </c>
      <c r="F94" s="18">
        <v>277000</v>
      </c>
    </row>
    <row r="95" spans="1:11" ht="14.25">
      <c r="A95" s="8" t="s">
        <v>87</v>
      </c>
      <c r="B95" s="22">
        <v>-11695000</v>
      </c>
      <c r="C95" s="17">
        <v>0</v>
      </c>
      <c r="D95" s="18">
        <v>-9838000</v>
      </c>
      <c r="E95" s="18">
        <v>-10701000</v>
      </c>
      <c r="F95" s="18">
        <v>-10770000</v>
      </c>
      <c r="H95" s="2"/>
    </row>
    <row r="96" spans="1:11" ht="13.15">
      <c r="A96" s="8" t="s">
        <v>88</v>
      </c>
      <c r="B96" s="22">
        <v>-3682000</v>
      </c>
      <c r="C96" s="17">
        <v>-4460000</v>
      </c>
      <c r="D96" s="18">
        <v>-3784000</v>
      </c>
      <c r="E96" s="18">
        <v>-4947000</v>
      </c>
      <c r="F96" s="18">
        <v>-3684000</v>
      </c>
      <c r="H96" s="2"/>
    </row>
    <row r="97" spans="1:8" ht="13.15">
      <c r="A97" s="9" t="s">
        <v>89</v>
      </c>
      <c r="B97" s="22">
        <v>2353000</v>
      </c>
      <c r="C97" s="17">
        <v>2628000</v>
      </c>
      <c r="D97" s="18">
        <v>2823000</v>
      </c>
      <c r="E97" s="18">
        <v>2691000</v>
      </c>
      <c r="F97" s="18">
        <v>2999000</v>
      </c>
      <c r="H97" s="2"/>
    </row>
    <row r="98" spans="1:8" ht="13.15">
      <c r="A98" s="8" t="s">
        <v>90</v>
      </c>
      <c r="B98" s="22" t="s">
        <v>12</v>
      </c>
      <c r="C98" s="17">
        <v>-701000</v>
      </c>
      <c r="D98" s="18">
        <v>-528000</v>
      </c>
      <c r="E98" s="18">
        <v>-542000</v>
      </c>
      <c r="F98" s="18" t="s">
        <v>12</v>
      </c>
      <c r="H98" s="2"/>
    </row>
    <row r="99" spans="1:8" ht="14.25">
      <c r="A99" s="8">
        <v>33</v>
      </c>
      <c r="B99" s="22" t="s">
        <v>12</v>
      </c>
      <c r="C99" s="17">
        <v>-165000</v>
      </c>
      <c r="D99" s="18">
        <v>-102000</v>
      </c>
      <c r="E99" s="18">
        <v>-90000</v>
      </c>
      <c r="F99" s="18" t="s">
        <v>12</v>
      </c>
      <c r="H99" s="2"/>
    </row>
    <row r="100" spans="1:8">
      <c r="A100" s="8" t="s">
        <v>91</v>
      </c>
      <c r="B100" s="22">
        <v>-174000</v>
      </c>
      <c r="C100" s="17" t="s">
        <v>12</v>
      </c>
      <c r="D100" s="18" t="s">
        <v>12</v>
      </c>
      <c r="E100" s="18" t="s">
        <v>12</v>
      </c>
      <c r="F100" s="18">
        <v>-726000</v>
      </c>
      <c r="H100" s="3"/>
    </row>
    <row r="101" spans="1:8">
      <c r="A101" s="8" t="s">
        <v>92</v>
      </c>
      <c r="B101" s="22">
        <v>39000</v>
      </c>
      <c r="C101" s="17">
        <v>10000</v>
      </c>
      <c r="D101" s="18">
        <v>10000</v>
      </c>
      <c r="E101" s="18">
        <v>13000</v>
      </c>
      <c r="F101" s="18">
        <v>28000</v>
      </c>
      <c r="H101" s="3"/>
    </row>
    <row r="102" spans="1:8">
      <c r="A102" s="8" t="s">
        <v>93</v>
      </c>
      <c r="B102" s="22">
        <v>9000</v>
      </c>
      <c r="C102" s="17">
        <v>13000</v>
      </c>
      <c r="D102" s="18">
        <v>7000</v>
      </c>
      <c r="E102" s="18">
        <v>19000</v>
      </c>
      <c r="F102" s="18" t="s">
        <v>12</v>
      </c>
      <c r="H102" s="3"/>
    </row>
    <row r="103" spans="1:8">
      <c r="A103" s="8" t="s">
        <v>94</v>
      </c>
      <c r="B103" s="22">
        <v>-126000</v>
      </c>
      <c r="C103" s="17">
        <v>-843000</v>
      </c>
      <c r="D103" s="18">
        <v>-613000</v>
      </c>
      <c r="E103" s="18">
        <v>-600000</v>
      </c>
      <c r="F103" s="18" t="s">
        <v>12</v>
      </c>
      <c r="H103" s="3"/>
    </row>
    <row r="104" spans="1:8">
      <c r="A104" s="8" t="s">
        <v>95</v>
      </c>
      <c r="B104" s="22" t="s">
        <v>12</v>
      </c>
      <c r="C104" s="17" t="s">
        <v>12</v>
      </c>
      <c r="D104" s="18" t="s">
        <v>12</v>
      </c>
      <c r="E104" s="18" t="s">
        <v>12</v>
      </c>
      <c r="F104" s="18">
        <v>21000</v>
      </c>
      <c r="H104" s="3"/>
    </row>
    <row r="105" spans="1:8">
      <c r="A105" s="8" t="s">
        <v>96</v>
      </c>
      <c r="B105" s="22" t="s">
        <v>12</v>
      </c>
      <c r="C105" s="17" t="s">
        <v>12</v>
      </c>
      <c r="D105" s="18" t="s">
        <v>12</v>
      </c>
      <c r="E105" s="18" t="s">
        <v>12</v>
      </c>
      <c r="F105" s="18">
        <v>-677000</v>
      </c>
      <c r="H105" s="3"/>
    </row>
    <row r="106" spans="1:8">
      <c r="A106" s="8" t="s">
        <v>97</v>
      </c>
      <c r="B106" s="22">
        <v>2227000</v>
      </c>
      <c r="C106" s="17">
        <v>1785000</v>
      </c>
      <c r="D106" s="18">
        <v>2210000</v>
      </c>
      <c r="E106" s="18">
        <v>2091000</v>
      </c>
      <c r="F106" s="18">
        <v>2322000</v>
      </c>
      <c r="H106" s="3"/>
    </row>
    <row r="107" spans="1:8">
      <c r="A107" s="8" t="s">
        <v>98</v>
      </c>
      <c r="B107" s="22">
        <v>-668000</v>
      </c>
      <c r="C107" s="17">
        <v>-576000</v>
      </c>
      <c r="D107" s="18">
        <v>-604000</v>
      </c>
      <c r="E107" s="18">
        <v>-534000</v>
      </c>
      <c r="F107" s="18">
        <v>-693000</v>
      </c>
      <c r="H107" s="3"/>
    </row>
    <row r="108" spans="1:8">
      <c r="A108" s="8" t="s">
        <v>99</v>
      </c>
      <c r="B108" s="22">
        <v>1559000</v>
      </c>
      <c r="C108" s="17">
        <v>1209000</v>
      </c>
      <c r="D108" s="18">
        <v>1606000</v>
      </c>
      <c r="E108" s="18">
        <v>1557000</v>
      </c>
      <c r="F108" s="18">
        <v>1629000</v>
      </c>
      <c r="H108" s="3"/>
    </row>
    <row r="109" spans="1:8">
      <c r="A109" s="8" t="s">
        <v>100</v>
      </c>
      <c r="B109" s="22">
        <v>1200000</v>
      </c>
      <c r="C109" s="17" t="s">
        <v>12</v>
      </c>
      <c r="D109" s="18">
        <v>533000</v>
      </c>
      <c r="E109" s="18">
        <v>6387000</v>
      </c>
      <c r="F109" s="18" t="s">
        <v>12</v>
      </c>
      <c r="H109" s="3"/>
    </row>
    <row r="110" spans="1:8">
      <c r="A110" s="9" t="s">
        <v>101</v>
      </c>
      <c r="B110" s="23">
        <v>2759000</v>
      </c>
      <c r="C110" s="19">
        <v>1209000</v>
      </c>
      <c r="D110" s="20">
        <v>2139000</v>
      </c>
      <c r="E110" s="20">
        <v>7944000</v>
      </c>
      <c r="F110" s="20">
        <v>1629000</v>
      </c>
      <c r="H110" s="3"/>
    </row>
    <row r="111" spans="1:8">
      <c r="A111" s="8" t="s">
        <v>102</v>
      </c>
      <c r="B111" s="22">
        <v>2693000</v>
      </c>
      <c r="C111" s="17">
        <v>1165000</v>
      </c>
      <c r="D111" s="18">
        <v>2074000</v>
      </c>
      <c r="E111" s="18">
        <v>7934000</v>
      </c>
      <c r="F111" s="18">
        <v>1618000</v>
      </c>
      <c r="H111" s="3"/>
    </row>
    <row r="112" spans="1:8">
      <c r="A112" s="8" t="s">
        <v>103</v>
      </c>
      <c r="B112" s="22">
        <v>66000</v>
      </c>
      <c r="C112" s="17">
        <v>44000</v>
      </c>
      <c r="D112" s="18">
        <v>65000</v>
      </c>
      <c r="E112" s="18">
        <v>10000</v>
      </c>
      <c r="F112" s="18">
        <v>11000</v>
      </c>
      <c r="H112" s="3"/>
    </row>
    <row r="113" spans="1:8">
      <c r="A113" s="8" t="s">
        <v>104</v>
      </c>
      <c r="B113" s="22">
        <v>1305700</v>
      </c>
      <c r="C113" s="17">
        <v>1257900</v>
      </c>
      <c r="D113" s="18">
        <v>1256900</v>
      </c>
      <c r="E113" s="18">
        <v>1221500</v>
      </c>
      <c r="F113" s="18">
        <v>1214300</v>
      </c>
      <c r="H113" s="3"/>
    </row>
    <row r="114" spans="1:8">
      <c r="A114" s="8" t="s">
        <v>105</v>
      </c>
      <c r="B114" s="22">
        <v>1313700</v>
      </c>
      <c r="C114" s="17">
        <v>1265400</v>
      </c>
      <c r="D114" s="18">
        <v>1262600</v>
      </c>
      <c r="E114" s="18">
        <v>1230300</v>
      </c>
      <c r="F114" s="18">
        <v>1223100</v>
      </c>
      <c r="H114" s="3"/>
    </row>
    <row r="115" spans="1:8">
      <c r="A115" s="8" t="s">
        <v>106</v>
      </c>
      <c r="B115" s="22">
        <v>1251800</v>
      </c>
      <c r="C115" s="17">
        <v>1258000</v>
      </c>
      <c r="D115" s="18">
        <v>1262552.4169999999</v>
      </c>
      <c r="E115" s="18">
        <v>1209102.476</v>
      </c>
      <c r="F115" s="18">
        <v>1214700</v>
      </c>
      <c r="H115" s="3"/>
    </row>
    <row r="116" spans="1:8">
      <c r="A116" s="8" t="s">
        <v>107</v>
      </c>
      <c r="B116" s="22">
        <v>1.143</v>
      </c>
      <c r="C116" s="17">
        <v>0.92700000000000005</v>
      </c>
      <c r="D116" s="18">
        <v>1.2769999999999999</v>
      </c>
      <c r="E116" s="18">
        <v>1.2669999999999999</v>
      </c>
      <c r="F116" s="18">
        <v>1.333</v>
      </c>
      <c r="H116" s="3"/>
    </row>
    <row r="117" spans="1:8">
      <c r="A117" s="8" t="s">
        <v>108</v>
      </c>
      <c r="B117" s="22">
        <v>0.91900000000000004</v>
      </c>
      <c r="C117" s="17" t="s">
        <v>12</v>
      </c>
      <c r="D117" s="18">
        <v>0.373</v>
      </c>
      <c r="E117" s="18">
        <v>5.2290000000000001</v>
      </c>
      <c r="F117" s="18" t="s">
        <v>12</v>
      </c>
      <c r="H117" s="3"/>
    </row>
    <row r="118" spans="1:8">
      <c r="A118" s="8" t="s">
        <v>109</v>
      </c>
      <c r="B118" s="22">
        <v>2.0619999999999998</v>
      </c>
      <c r="C118" s="17">
        <v>0.92700000000000005</v>
      </c>
      <c r="D118" s="18">
        <v>1.65</v>
      </c>
      <c r="E118" s="18">
        <v>6.4960000000000004</v>
      </c>
      <c r="F118" s="18">
        <v>1.333</v>
      </c>
      <c r="H118" s="3"/>
    </row>
    <row r="119" spans="1:8">
      <c r="A119" s="8" t="s">
        <v>110</v>
      </c>
      <c r="B119" s="22">
        <v>1.1359999999999999</v>
      </c>
      <c r="C119" s="17">
        <v>0.92200000000000004</v>
      </c>
      <c r="D119" s="18">
        <v>1.2709999999999999</v>
      </c>
      <c r="E119" s="18">
        <v>1.2569999999999999</v>
      </c>
      <c r="F119" s="18">
        <v>1.323</v>
      </c>
      <c r="H119" s="3"/>
    </row>
    <row r="120" spans="1:8">
      <c r="A120" s="8" t="s">
        <v>111</v>
      </c>
      <c r="B120" s="22">
        <v>0.91300000000000003</v>
      </c>
      <c r="C120" s="17" t="s">
        <v>12</v>
      </c>
      <c r="D120" s="18">
        <v>0.371</v>
      </c>
      <c r="E120" s="18">
        <v>5.1909999999999998</v>
      </c>
      <c r="F120" s="18" t="s">
        <v>12</v>
      </c>
      <c r="H120" s="3"/>
    </row>
    <row r="121" spans="1:8">
      <c r="A121" s="8" t="s">
        <v>112</v>
      </c>
      <c r="B121" s="22">
        <v>2.0489999999999999</v>
      </c>
      <c r="C121" s="17">
        <v>0.92200000000000004</v>
      </c>
      <c r="D121" s="18">
        <v>1.6419999999999999</v>
      </c>
      <c r="E121" s="18">
        <v>6.4480000000000004</v>
      </c>
      <c r="F121" s="18">
        <v>1.323</v>
      </c>
      <c r="H121" s="3"/>
    </row>
    <row r="122" spans="1:8">
      <c r="A122" s="8" t="s">
        <v>113</v>
      </c>
      <c r="B122" s="22">
        <v>1.02</v>
      </c>
      <c r="C122" s="17">
        <v>0.94</v>
      </c>
      <c r="D122" s="18">
        <v>1.08</v>
      </c>
      <c r="E122" s="18">
        <v>0.92</v>
      </c>
      <c r="F122" s="18">
        <v>1.04</v>
      </c>
      <c r="H122" s="3"/>
    </row>
    <row r="123" spans="1:8">
      <c r="A123" s="8" t="s">
        <v>114</v>
      </c>
      <c r="B123" s="22">
        <v>196000</v>
      </c>
      <c r="C123" s="17">
        <v>215000</v>
      </c>
      <c r="D123" s="18">
        <v>210067</v>
      </c>
      <c r="E123" s="18">
        <v>198000</v>
      </c>
      <c r="F123" s="18">
        <v>200364</v>
      </c>
      <c r="H123" s="3"/>
    </row>
    <row r="124" spans="1:8">
      <c r="A124" s="8" t="s">
        <v>115</v>
      </c>
      <c r="B124" s="22">
        <v>356152</v>
      </c>
      <c r="C124" s="17">
        <v>352810</v>
      </c>
      <c r="D124" s="18">
        <v>367852</v>
      </c>
      <c r="E124" s="18">
        <v>374275</v>
      </c>
      <c r="F124" s="18">
        <v>365384</v>
      </c>
      <c r="H124" s="3"/>
    </row>
    <row r="125" spans="1:8">
      <c r="A125" s="8"/>
      <c r="B125" s="22"/>
      <c r="C125" s="17"/>
      <c r="D125" s="18"/>
      <c r="E125" s="18"/>
      <c r="F125" s="18"/>
      <c r="H125" s="3"/>
    </row>
    <row r="126" spans="1:8" ht="13.15">
      <c r="A126" s="8"/>
      <c r="B126" s="15" t="s">
        <v>1</v>
      </c>
      <c r="C126" s="16" t="s">
        <v>2</v>
      </c>
      <c r="D126" s="16" t="s">
        <v>3</v>
      </c>
      <c r="E126" s="16" t="s">
        <v>4</v>
      </c>
      <c r="F126" s="16" t="s">
        <v>5</v>
      </c>
      <c r="H126" s="3"/>
    </row>
    <row r="127" spans="1:8" ht="14.65">
      <c r="A127" s="13" t="s">
        <v>116</v>
      </c>
      <c r="B127" s="22">
        <v>68998000</v>
      </c>
      <c r="C127" s="17">
        <v>68898000</v>
      </c>
      <c r="D127" s="18">
        <v>72688000</v>
      </c>
      <c r="E127" s="18">
        <v>64538000</v>
      </c>
      <c r="F127" s="18">
        <v>68275000</v>
      </c>
      <c r="H127" s="3"/>
    </row>
    <row r="128" spans="1:8">
      <c r="A128" s="8" t="s">
        <v>117</v>
      </c>
      <c r="B128" s="22">
        <v>-65140000</v>
      </c>
      <c r="C128" s="17">
        <v>-62831000</v>
      </c>
      <c r="D128" s="18">
        <v>-66526000</v>
      </c>
      <c r="E128" s="18">
        <v>-59721000</v>
      </c>
      <c r="F128" s="18">
        <v>-62259000</v>
      </c>
      <c r="H128" s="3"/>
    </row>
    <row r="129" spans="1:8">
      <c r="A129" s="8" t="s">
        <v>118</v>
      </c>
      <c r="B129" s="22" t="s">
        <v>12</v>
      </c>
      <c r="C129" s="17">
        <v>-701000</v>
      </c>
      <c r="D129" s="18">
        <v>-687000</v>
      </c>
      <c r="E129" s="18">
        <v>-542000</v>
      </c>
      <c r="F129" s="18">
        <v>-542000</v>
      </c>
      <c r="H129" s="3"/>
    </row>
    <row r="130" spans="1:8">
      <c r="A130" s="8" t="s">
        <v>119</v>
      </c>
      <c r="B130" s="22">
        <v>-166000</v>
      </c>
      <c r="C130" s="17">
        <v>-155000</v>
      </c>
      <c r="D130" s="18">
        <v>-113000</v>
      </c>
      <c r="E130" s="18">
        <v>-59000</v>
      </c>
      <c r="F130" s="18">
        <v>-133000</v>
      </c>
      <c r="H130" s="3"/>
    </row>
    <row r="131" spans="1:8">
      <c r="A131" s="8" t="s">
        <v>120</v>
      </c>
      <c r="B131" s="22">
        <v>-744000</v>
      </c>
      <c r="C131" s="17">
        <v>-650000</v>
      </c>
      <c r="D131" s="18">
        <v>-738000</v>
      </c>
      <c r="E131" s="18">
        <v>-838000</v>
      </c>
      <c r="F131" s="18">
        <v>-587000</v>
      </c>
      <c r="H131" s="3"/>
    </row>
    <row r="132" spans="1:8">
      <c r="A132" s="8" t="s">
        <v>121</v>
      </c>
      <c r="B132" s="22">
        <v>2948000</v>
      </c>
      <c r="C132" s="17">
        <v>4561000</v>
      </c>
      <c r="D132" s="18">
        <v>4624000</v>
      </c>
      <c r="E132" s="18">
        <v>3378000</v>
      </c>
      <c r="F132" s="18">
        <v>4754000</v>
      </c>
      <c r="H132" s="3"/>
    </row>
    <row r="133" spans="1:8">
      <c r="A133" s="8" t="s">
        <v>122</v>
      </c>
      <c r="B133" s="22" t="s">
        <v>12</v>
      </c>
      <c r="C133" s="17" t="s">
        <v>12</v>
      </c>
      <c r="D133" s="18">
        <v>389000</v>
      </c>
      <c r="E133" s="18">
        <v>332000</v>
      </c>
      <c r="F133" s="18">
        <v>361000</v>
      </c>
      <c r="H133" s="3"/>
    </row>
    <row r="134" spans="1:8">
      <c r="A134" s="8" t="s">
        <v>123</v>
      </c>
      <c r="B134" s="22">
        <v>2759000</v>
      </c>
      <c r="C134" s="17">
        <v>1209000</v>
      </c>
      <c r="D134" s="18" t="s">
        <v>12</v>
      </c>
      <c r="E134" s="18" t="s">
        <v>12</v>
      </c>
      <c r="F134" s="18" t="s">
        <v>12</v>
      </c>
      <c r="H134" s="3"/>
    </row>
    <row r="135" spans="1:8">
      <c r="A135" s="8" t="s">
        <v>124</v>
      </c>
      <c r="B135" s="22" t="s">
        <v>12</v>
      </c>
      <c r="C135" s="17" t="s">
        <v>12</v>
      </c>
      <c r="D135" s="18">
        <v>2139000</v>
      </c>
      <c r="E135" s="18">
        <v>7944000</v>
      </c>
      <c r="F135" s="18">
        <v>1629000</v>
      </c>
      <c r="H135" s="3"/>
    </row>
    <row r="136" spans="1:8">
      <c r="A136" s="8" t="s">
        <v>125</v>
      </c>
      <c r="B136" s="22">
        <v>1222000</v>
      </c>
      <c r="C136" s="17">
        <v>2458000</v>
      </c>
      <c r="D136" s="18">
        <v>2608000</v>
      </c>
      <c r="E136" s="18">
        <v>2361000</v>
      </c>
      <c r="F136" s="18">
        <v>2578000</v>
      </c>
    </row>
    <row r="137" spans="1:8">
      <c r="A137" s="8" t="s">
        <v>126</v>
      </c>
      <c r="B137" s="22" t="s">
        <v>12</v>
      </c>
      <c r="C137" s="17" t="s">
        <v>12</v>
      </c>
      <c r="D137" s="18" t="s">
        <v>12</v>
      </c>
      <c r="E137" s="18">
        <v>-27000</v>
      </c>
      <c r="F137" s="18" t="s">
        <v>12</v>
      </c>
    </row>
    <row r="138" spans="1:8">
      <c r="A138" s="8" t="s">
        <v>127</v>
      </c>
      <c r="B138" s="22">
        <v>150000</v>
      </c>
      <c r="C138" s="17">
        <v>34000</v>
      </c>
      <c r="D138" s="18">
        <v>56000</v>
      </c>
      <c r="E138" s="18" t="s">
        <v>12</v>
      </c>
      <c r="F138" s="18">
        <v>43000</v>
      </c>
    </row>
    <row r="139" spans="1:8">
      <c r="A139" s="8" t="s">
        <v>128</v>
      </c>
      <c r="B139" s="22">
        <v>62000</v>
      </c>
      <c r="C139" s="17">
        <v>96000</v>
      </c>
      <c r="D139" s="18">
        <v>103000</v>
      </c>
      <c r="E139" s="18">
        <v>139000</v>
      </c>
      <c r="F139" s="18">
        <v>113000</v>
      </c>
    </row>
    <row r="140" spans="1:8" ht="13.15">
      <c r="A140" s="8" t="s">
        <v>129</v>
      </c>
      <c r="B140" s="22" t="s">
        <v>12</v>
      </c>
      <c r="C140" s="17" t="s">
        <v>12</v>
      </c>
      <c r="D140" s="18" t="s">
        <v>12</v>
      </c>
      <c r="E140" s="18" t="s">
        <v>12</v>
      </c>
      <c r="F140" s="18">
        <v>33000</v>
      </c>
      <c r="H140" s="2"/>
    </row>
    <row r="141" spans="1:8" ht="13.15">
      <c r="A141" s="8" t="s">
        <v>130</v>
      </c>
      <c r="B141" s="22" t="s">
        <v>12</v>
      </c>
      <c r="C141" s="17" t="s">
        <v>12</v>
      </c>
      <c r="D141" s="18" t="s">
        <v>12</v>
      </c>
      <c r="E141" s="18" t="s">
        <v>12</v>
      </c>
      <c r="F141" s="18">
        <v>-64000</v>
      </c>
      <c r="H141" s="2"/>
    </row>
    <row r="142" spans="1:8" ht="13.15">
      <c r="A142" s="8" t="s">
        <v>131</v>
      </c>
      <c r="B142" s="22" t="s">
        <v>12</v>
      </c>
      <c r="C142" s="17" t="s">
        <v>12</v>
      </c>
      <c r="D142" s="18">
        <v>-228000</v>
      </c>
      <c r="E142" s="18" t="s">
        <v>12</v>
      </c>
      <c r="F142" s="18" t="s">
        <v>12</v>
      </c>
      <c r="H142" s="2"/>
    </row>
    <row r="143" spans="1:8" ht="13.15">
      <c r="A143" s="8" t="s">
        <v>132</v>
      </c>
      <c r="B143" s="22">
        <v>-1088000</v>
      </c>
      <c r="C143" s="17" t="s">
        <v>12</v>
      </c>
      <c r="D143" s="18" t="s">
        <v>12</v>
      </c>
      <c r="E143" s="18" t="s">
        <v>12</v>
      </c>
      <c r="F143" s="18" t="s">
        <v>12</v>
      </c>
      <c r="H143" s="2"/>
    </row>
    <row r="144" spans="1:8" ht="13.15">
      <c r="A144" s="8" t="s">
        <v>133</v>
      </c>
      <c r="B144" s="22">
        <v>-39000</v>
      </c>
      <c r="C144" s="17">
        <v>-10000</v>
      </c>
      <c r="D144" s="18">
        <v>-10000</v>
      </c>
      <c r="E144" s="18">
        <v>-13000</v>
      </c>
      <c r="F144" s="18" t="s">
        <v>12</v>
      </c>
      <c r="H144" s="2"/>
    </row>
    <row r="145" spans="1:8">
      <c r="A145" s="8" t="s">
        <v>134</v>
      </c>
      <c r="B145" s="22" t="s">
        <v>12</v>
      </c>
      <c r="C145" s="17" t="s">
        <v>12</v>
      </c>
      <c r="D145" s="18" t="s">
        <v>12</v>
      </c>
      <c r="E145" s="18">
        <v>-73000</v>
      </c>
      <c r="F145" s="18" t="s">
        <v>12</v>
      </c>
      <c r="H145" s="3"/>
    </row>
    <row r="146" spans="1:8">
      <c r="A146" s="8" t="s">
        <v>135</v>
      </c>
      <c r="B146" s="22">
        <v>27000</v>
      </c>
      <c r="C146" s="17">
        <v>11000</v>
      </c>
      <c r="D146" s="18">
        <v>11000</v>
      </c>
      <c r="E146" s="18" t="s">
        <v>12</v>
      </c>
      <c r="F146" s="18" t="s">
        <v>12</v>
      </c>
      <c r="H146" s="3"/>
    </row>
    <row r="147" spans="1:8">
      <c r="A147" s="8" t="s">
        <v>136</v>
      </c>
      <c r="B147" s="22" t="s">
        <v>12</v>
      </c>
      <c r="C147" s="17" t="s">
        <v>12</v>
      </c>
      <c r="D147" s="18" t="s">
        <v>12</v>
      </c>
      <c r="E147" s="18">
        <v>-6387000</v>
      </c>
      <c r="F147" s="18" t="s">
        <v>12</v>
      </c>
      <c r="H147" s="3"/>
    </row>
    <row r="148" spans="1:8">
      <c r="A148" s="8" t="s">
        <v>137</v>
      </c>
      <c r="B148" s="22" t="s">
        <v>12</v>
      </c>
      <c r="C148" s="17" t="s">
        <v>12</v>
      </c>
      <c r="D148" s="18" t="s">
        <v>12</v>
      </c>
      <c r="E148" s="18">
        <v>-164000</v>
      </c>
      <c r="F148" s="18">
        <v>41000</v>
      </c>
      <c r="H148" s="3"/>
    </row>
    <row r="149" spans="1:8">
      <c r="A149" s="8" t="s">
        <v>138</v>
      </c>
      <c r="B149" s="22">
        <v>-4000</v>
      </c>
      <c r="C149" s="17">
        <v>-4000</v>
      </c>
      <c r="D149" s="18">
        <v>-4000</v>
      </c>
      <c r="E149" s="18" t="s">
        <v>12</v>
      </c>
      <c r="F149" s="18" t="s">
        <v>12</v>
      </c>
      <c r="H149" s="3"/>
    </row>
    <row r="150" spans="1:8">
      <c r="A150" s="8" t="s">
        <v>139</v>
      </c>
      <c r="B150" s="22">
        <v>9000</v>
      </c>
      <c r="C150" s="17">
        <v>8000</v>
      </c>
      <c r="D150" s="18">
        <v>-57000</v>
      </c>
      <c r="E150" s="18">
        <v>-45000</v>
      </c>
      <c r="F150" s="18">
        <v>22000</v>
      </c>
      <c r="H150" s="3"/>
    </row>
    <row r="151" spans="1:8">
      <c r="A151" s="8" t="s">
        <v>140</v>
      </c>
      <c r="B151" s="22" t="s">
        <v>12</v>
      </c>
      <c r="C151" s="17" t="s">
        <v>12</v>
      </c>
      <c r="D151" s="18" t="s">
        <v>12</v>
      </c>
      <c r="E151" s="18">
        <v>-68000</v>
      </c>
      <c r="F151" s="18">
        <v>-56000</v>
      </c>
      <c r="H151" s="3"/>
    </row>
    <row r="152" spans="1:8" ht="19.5">
      <c r="A152" s="8" t="s">
        <v>141</v>
      </c>
      <c r="B152" s="22">
        <v>-34000</v>
      </c>
      <c r="C152" s="17">
        <v>-152000</v>
      </c>
      <c r="D152" s="18">
        <v>103000</v>
      </c>
      <c r="E152" s="18">
        <v>-343000</v>
      </c>
      <c r="F152" s="18">
        <v>-119000</v>
      </c>
      <c r="H152" s="3"/>
    </row>
    <row r="153" spans="1:8">
      <c r="A153" s="8" t="s">
        <v>142</v>
      </c>
      <c r="B153" s="22">
        <v>239000</v>
      </c>
      <c r="C153" s="17">
        <v>632000</v>
      </c>
      <c r="D153" s="18">
        <v>-115000</v>
      </c>
      <c r="E153" s="18">
        <v>165000</v>
      </c>
      <c r="F153" s="18">
        <v>371000</v>
      </c>
      <c r="H153" s="3"/>
    </row>
    <row r="154" spans="1:8">
      <c r="A154" s="8" t="s">
        <v>143</v>
      </c>
      <c r="B154" s="22">
        <v>77000</v>
      </c>
      <c r="C154" s="17">
        <v>223000</v>
      </c>
      <c r="D154" s="18">
        <v>-183000</v>
      </c>
      <c r="E154" s="18">
        <v>175000</v>
      </c>
      <c r="F154" s="18">
        <v>-37000</v>
      </c>
      <c r="H154" s="3"/>
    </row>
    <row r="155" spans="1:8">
      <c r="A155" s="8" t="s">
        <v>144</v>
      </c>
      <c r="B155" s="22">
        <v>-108000</v>
      </c>
      <c r="C155" s="17">
        <v>-37000</v>
      </c>
      <c r="D155" s="18">
        <v>15000</v>
      </c>
      <c r="E155" s="18">
        <v>-115000</v>
      </c>
      <c r="F155" s="18">
        <v>-129000</v>
      </c>
      <c r="H155" s="3"/>
    </row>
    <row r="156" spans="1:8">
      <c r="A156" s="8" t="s">
        <v>145</v>
      </c>
      <c r="B156" s="22" t="s">
        <v>12</v>
      </c>
      <c r="C156" s="17" t="s">
        <v>12</v>
      </c>
      <c r="D156" s="18" t="s">
        <v>12</v>
      </c>
      <c r="E156" s="18" t="s">
        <v>12</v>
      </c>
      <c r="F156" s="18">
        <v>45000</v>
      </c>
      <c r="H156" s="3"/>
    </row>
    <row r="157" spans="1:8">
      <c r="A157" s="8" t="s">
        <v>146</v>
      </c>
      <c r="B157" s="22">
        <v>-250000</v>
      </c>
      <c r="C157" s="17">
        <v>163000</v>
      </c>
      <c r="D157" s="18">
        <v>91000</v>
      </c>
      <c r="E157" s="18">
        <v>121000</v>
      </c>
      <c r="F157" s="18">
        <v>191000</v>
      </c>
      <c r="H157" s="3"/>
    </row>
    <row r="158" spans="1:8">
      <c r="A158" s="8" t="s">
        <v>147</v>
      </c>
      <c r="B158" s="22">
        <v>-47000</v>
      </c>
      <c r="C158" s="17">
        <v>-118000</v>
      </c>
      <c r="D158" s="18">
        <v>-140000</v>
      </c>
      <c r="E158" s="18">
        <v>-42000</v>
      </c>
      <c r="F158" s="18">
        <v>-132000</v>
      </c>
      <c r="H158" s="3"/>
    </row>
    <row r="159" spans="1:8">
      <c r="A159" s="8" t="s">
        <v>148</v>
      </c>
      <c r="B159" s="22">
        <v>-27000</v>
      </c>
      <c r="C159" s="17">
        <v>48000</v>
      </c>
      <c r="D159" s="18">
        <v>235000</v>
      </c>
      <c r="E159" s="18">
        <v>-250000</v>
      </c>
      <c r="F159" s="18">
        <v>225000</v>
      </c>
      <c r="H159" s="3"/>
    </row>
    <row r="160" spans="1:8">
      <c r="A160" s="8" t="s">
        <v>149</v>
      </c>
      <c r="B160" s="22">
        <v>2948000</v>
      </c>
      <c r="C160" s="17">
        <v>4561000</v>
      </c>
      <c r="D160" s="18">
        <v>4624000</v>
      </c>
      <c r="E160" s="18">
        <v>3378000</v>
      </c>
      <c r="F160" s="18">
        <v>4754000</v>
      </c>
      <c r="H160" s="3"/>
    </row>
    <row r="161" spans="1:8">
      <c r="A161" s="9" t="s">
        <v>122</v>
      </c>
      <c r="B161" s="23">
        <v>177000</v>
      </c>
      <c r="C161" s="19">
        <v>261000</v>
      </c>
      <c r="D161" s="20" t="s">
        <v>12</v>
      </c>
      <c r="E161" s="20" t="s">
        <v>12</v>
      </c>
      <c r="F161" s="20" t="s">
        <v>12</v>
      </c>
      <c r="H161" s="3"/>
    </row>
    <row r="162" spans="1:8" ht="19.5">
      <c r="A162" s="8" t="s">
        <v>150</v>
      </c>
      <c r="B162" s="22">
        <v>-1991000</v>
      </c>
      <c r="C162" s="17">
        <v>-2149000</v>
      </c>
      <c r="D162" s="18">
        <v>-2389000</v>
      </c>
      <c r="E162" s="18">
        <v>-2416000</v>
      </c>
      <c r="F162" s="18">
        <v>-2519000</v>
      </c>
      <c r="H162" s="3"/>
    </row>
    <row r="163" spans="1:8">
      <c r="A163" s="8" t="s">
        <v>151</v>
      </c>
      <c r="B163" s="22">
        <v>1682000</v>
      </c>
      <c r="C163" s="17">
        <v>34000</v>
      </c>
      <c r="D163" s="18">
        <v>19000</v>
      </c>
      <c r="E163" s="18">
        <v>53000</v>
      </c>
      <c r="F163" s="18">
        <v>659000</v>
      </c>
      <c r="H163" s="3"/>
    </row>
    <row r="164" spans="1:8" ht="19.5">
      <c r="A164" s="8" t="s">
        <v>152</v>
      </c>
      <c r="B164" s="22">
        <v>-80000</v>
      </c>
      <c r="C164" s="17">
        <v>-91000</v>
      </c>
      <c r="D164" s="18">
        <v>-209000</v>
      </c>
      <c r="E164" s="18">
        <v>-425000</v>
      </c>
      <c r="F164" s="18">
        <v>-373000</v>
      </c>
      <c r="H164" s="3"/>
    </row>
    <row r="165" spans="1:8">
      <c r="A165" s="8" t="s">
        <v>153</v>
      </c>
      <c r="B165" s="22">
        <v>-38000</v>
      </c>
      <c r="C165" s="17">
        <v>-4000</v>
      </c>
      <c r="D165" s="18" t="s">
        <v>12</v>
      </c>
      <c r="E165" s="18" t="s">
        <v>12</v>
      </c>
      <c r="F165" s="18" t="s">
        <v>12</v>
      </c>
      <c r="H165" s="3"/>
    </row>
    <row r="166" spans="1:8">
      <c r="A166" s="8" t="s">
        <v>154</v>
      </c>
      <c r="B166" s="22" t="s">
        <v>12</v>
      </c>
      <c r="C166" s="17" t="s">
        <v>12</v>
      </c>
      <c r="D166" s="18">
        <v>-35000</v>
      </c>
      <c r="E166" s="18">
        <v>-32000</v>
      </c>
      <c r="F166" s="18">
        <v>-30000</v>
      </c>
      <c r="H166" s="3"/>
    </row>
    <row r="167" spans="1:8">
      <c r="A167" s="8" t="s">
        <v>155</v>
      </c>
      <c r="B167" s="22" t="s">
        <v>12</v>
      </c>
      <c r="C167" s="17" t="s">
        <v>12</v>
      </c>
      <c r="D167" s="18">
        <v>12000</v>
      </c>
      <c r="E167" s="18">
        <v>-20000</v>
      </c>
      <c r="F167" s="18">
        <v>15000</v>
      </c>
      <c r="H167" s="3"/>
    </row>
    <row r="168" spans="1:8">
      <c r="A168" s="8" t="s">
        <v>156</v>
      </c>
      <c r="B168" s="22">
        <v>4000</v>
      </c>
      <c r="C168" s="17">
        <v>4000</v>
      </c>
      <c r="D168" s="18">
        <v>13000</v>
      </c>
      <c r="E168" s="18">
        <v>51000</v>
      </c>
      <c r="F168" s="18">
        <v>43000</v>
      </c>
      <c r="H168" s="3"/>
    </row>
    <row r="169" spans="1:8">
      <c r="A169" s="8" t="s">
        <v>139</v>
      </c>
      <c r="B169" s="22">
        <v>-246000</v>
      </c>
      <c r="C169" s="17">
        <v>-1945000</v>
      </c>
      <c r="D169" s="18">
        <v>-2200000</v>
      </c>
      <c r="E169" s="18">
        <v>-2457000</v>
      </c>
      <c r="F169" s="18">
        <v>-1844000</v>
      </c>
      <c r="H169" s="3"/>
    </row>
    <row r="170" spans="1:8">
      <c r="A170" s="9" t="s">
        <v>157</v>
      </c>
      <c r="B170" s="23" t="s">
        <v>12</v>
      </c>
      <c r="C170" s="19">
        <v>-1066000</v>
      </c>
      <c r="D170" s="20">
        <v>-1158000</v>
      </c>
      <c r="E170" s="20">
        <v>-1019000</v>
      </c>
      <c r="F170" s="20">
        <v>-1067000</v>
      </c>
      <c r="H170" s="3"/>
    </row>
    <row r="171" spans="1:8">
      <c r="A171" s="8" t="s">
        <v>158</v>
      </c>
      <c r="B171" s="22">
        <v>665000</v>
      </c>
      <c r="C171" s="17">
        <v>1500000</v>
      </c>
      <c r="D171" s="18">
        <v>971000</v>
      </c>
      <c r="E171" s="18">
        <v>2513000</v>
      </c>
      <c r="F171" s="18">
        <v>351000</v>
      </c>
      <c r="H171" s="3"/>
    </row>
    <row r="172" spans="1:8">
      <c r="A172" s="8" t="s">
        <v>159</v>
      </c>
      <c r="B172" s="22">
        <v>-503000</v>
      </c>
      <c r="C172" s="17">
        <v>-745000</v>
      </c>
      <c r="D172" s="18">
        <v>-1525000</v>
      </c>
      <c r="E172" s="18">
        <v>-969000</v>
      </c>
      <c r="F172" s="18">
        <v>-952000</v>
      </c>
      <c r="H172" s="3"/>
    </row>
    <row r="173" spans="1:8">
      <c r="A173" s="8" t="s">
        <v>160</v>
      </c>
      <c r="B173" s="22" t="s">
        <v>12</v>
      </c>
      <c r="C173" s="17" t="s">
        <v>12</v>
      </c>
      <c r="D173" s="18" t="s">
        <v>12</v>
      </c>
      <c r="E173" s="18">
        <v>1712000</v>
      </c>
      <c r="F173" s="18" t="s">
        <v>12</v>
      </c>
      <c r="H173" s="3"/>
    </row>
    <row r="174" spans="1:8">
      <c r="A174" s="8" t="s">
        <v>161</v>
      </c>
      <c r="B174" s="22" t="s">
        <v>12</v>
      </c>
      <c r="C174" s="17" t="s">
        <v>12</v>
      </c>
      <c r="D174" s="18" t="s">
        <v>12</v>
      </c>
      <c r="E174" s="18">
        <v>-437000</v>
      </c>
      <c r="F174" s="18" t="s">
        <v>12</v>
      </c>
      <c r="H174" s="3"/>
    </row>
    <row r="175" spans="1:8">
      <c r="A175" s="8" t="s">
        <v>162</v>
      </c>
      <c r="B175" s="22">
        <v>-1701000</v>
      </c>
      <c r="C175" s="17" t="s">
        <v>12</v>
      </c>
      <c r="D175" s="18" t="s">
        <v>12</v>
      </c>
      <c r="E175" s="18">
        <v>-2000000</v>
      </c>
      <c r="F175" s="18" t="s">
        <v>12</v>
      </c>
      <c r="H175" s="3"/>
    </row>
    <row r="176" spans="1:8">
      <c r="A176" s="8" t="s">
        <v>163</v>
      </c>
      <c r="B176" s="22">
        <v>-1267000</v>
      </c>
      <c r="C176" s="17">
        <v>-1133000</v>
      </c>
      <c r="D176" s="18">
        <v>-1104000</v>
      </c>
      <c r="E176" s="18">
        <v>-1007000</v>
      </c>
      <c r="F176" s="18">
        <v>-1026000</v>
      </c>
      <c r="H176" s="3"/>
    </row>
    <row r="177" spans="1:8">
      <c r="A177" s="8" t="s">
        <v>164</v>
      </c>
      <c r="B177" s="22">
        <v>-51000</v>
      </c>
      <c r="C177" s="17">
        <v>-66000</v>
      </c>
      <c r="D177" s="18">
        <v>-50000</v>
      </c>
      <c r="E177" s="18">
        <v>-5000</v>
      </c>
      <c r="F177" s="18">
        <v>-5000</v>
      </c>
      <c r="H177" s="3"/>
    </row>
    <row r="178" spans="1:8">
      <c r="A178" s="8" t="s">
        <v>165</v>
      </c>
      <c r="B178" s="22">
        <v>-60000</v>
      </c>
      <c r="C178" s="17">
        <v>-102000</v>
      </c>
      <c r="D178" s="18">
        <v>-177000</v>
      </c>
      <c r="E178" s="18">
        <v>-125000</v>
      </c>
      <c r="F178" s="18">
        <v>-110000</v>
      </c>
      <c r="H178" s="3"/>
    </row>
    <row r="179" spans="1:8">
      <c r="A179" s="8" t="s">
        <v>166</v>
      </c>
      <c r="B179" s="22">
        <v>-2917000</v>
      </c>
      <c r="C179" s="17">
        <v>-1612000</v>
      </c>
      <c r="D179" s="18">
        <v>-3043000</v>
      </c>
      <c r="E179" s="18">
        <v>-1337000</v>
      </c>
      <c r="F179" s="18">
        <v>-2809000</v>
      </c>
      <c r="H179" s="3"/>
    </row>
    <row r="180" spans="1:8">
      <c r="A180" s="9" t="s">
        <v>167</v>
      </c>
      <c r="B180" s="23">
        <v>-215000</v>
      </c>
      <c r="C180" s="19">
        <v>1004000</v>
      </c>
      <c r="D180" s="20">
        <v>-619000</v>
      </c>
      <c r="E180" s="20">
        <v>-416000</v>
      </c>
      <c r="F180" s="20">
        <v>101000</v>
      </c>
      <c r="H180" s="3"/>
    </row>
    <row r="181" spans="1:8">
      <c r="A181" s="8" t="s">
        <v>168</v>
      </c>
      <c r="B181" s="22">
        <v>4000</v>
      </c>
      <c r="C181" s="17">
        <v>-2000</v>
      </c>
      <c r="D181" s="18">
        <v>-3000</v>
      </c>
      <c r="E181" s="18">
        <v>2000</v>
      </c>
      <c r="F181" s="18">
        <v>2000</v>
      </c>
      <c r="H181" s="3"/>
    </row>
    <row r="182" spans="1:8">
      <c r="A182" s="8" t="s">
        <v>169</v>
      </c>
      <c r="B182" s="22">
        <v>1277000</v>
      </c>
      <c r="C182" s="17">
        <v>1066000</v>
      </c>
      <c r="D182" s="18">
        <v>2068000</v>
      </c>
      <c r="E182" s="18">
        <v>1446000</v>
      </c>
      <c r="F182" s="18">
        <v>1032000</v>
      </c>
      <c r="H182" s="3"/>
    </row>
    <row r="183" spans="1:8">
      <c r="A183" s="8" t="s">
        <v>170</v>
      </c>
      <c r="B183" s="22">
        <v>1066000</v>
      </c>
      <c r="C183" s="17">
        <v>2068000</v>
      </c>
      <c r="D183" s="18">
        <v>1446000</v>
      </c>
      <c r="E183" s="18">
        <v>1032000</v>
      </c>
      <c r="F183" s="18">
        <v>1135000</v>
      </c>
      <c r="H183" s="3"/>
    </row>
    <row r="184" spans="1:8">
      <c r="A184" s="8" t="s">
        <v>171</v>
      </c>
      <c r="H184" s="3"/>
    </row>
    <row r="185" spans="1:8">
      <c r="H185" s="3"/>
    </row>
    <row r="186" spans="1:8">
      <c r="H186" s="3"/>
    </row>
    <row r="187" spans="1:8">
      <c r="H187" s="3"/>
    </row>
    <row r="188" spans="1:8">
      <c r="H188" s="3"/>
    </row>
    <row r="189" spans="1:8">
      <c r="H189" s="3"/>
    </row>
    <row r="190" spans="1:8">
      <c r="H190" s="3"/>
    </row>
    <row r="191" spans="1:8">
      <c r="H191" s="3"/>
    </row>
    <row r="192" spans="1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</sheetData>
  <sheetProtection formatCells="0" formatColumns="0" formatRows="0" insertColumns="0" insertRows="0" insertHyperlinks="0" deleteColumns="0" deleteRows="0" sort="0" autoFilter="0" pivotTables="0"/>
  <mergeCells count="4">
    <mergeCell ref="H3:I3"/>
    <mergeCell ref="J3:K3"/>
    <mergeCell ref="L3:M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A95B-3A92-4BD5-A1C9-E3331B9791A7}">
  <dimension ref="A1:F35"/>
  <sheetViews>
    <sheetView workbookViewId="0">
      <selection activeCell="K1" sqref="K1"/>
    </sheetView>
  </sheetViews>
  <sheetFormatPr defaultColWidth="8.85546875" defaultRowHeight="12.75"/>
  <cols>
    <col min="1" max="1" width="50.42578125" bestFit="1" customWidth="1"/>
    <col min="2" max="6" width="12.42578125" bestFit="1" customWidth="1"/>
  </cols>
  <sheetData>
    <row r="1" spans="1:6" ht="21.75">
      <c r="A1" s="4" t="s">
        <v>172</v>
      </c>
    </row>
    <row r="2" spans="1:6" ht="13.15">
      <c r="A2" s="10" t="s">
        <v>173</v>
      </c>
      <c r="B2" s="5">
        <v>2019</v>
      </c>
      <c r="C2" s="5">
        <v>2020</v>
      </c>
      <c r="D2" s="5">
        <v>2021</v>
      </c>
      <c r="E2" s="5">
        <v>2022</v>
      </c>
      <c r="F2" s="5">
        <v>2023</v>
      </c>
    </row>
    <row r="3" spans="1:6">
      <c r="A3" s="8" t="s">
        <v>174</v>
      </c>
      <c r="B3" s="49">
        <f>'Table 1 - Woolworths Financials'!B22/'Table 1 - Woolworths Financials'!B60</f>
        <v>0.73062645011600924</v>
      </c>
      <c r="C3" s="49">
        <f>'Table 1 - Woolworths Financials'!C22/'Table 1 - Woolworths Financials'!C60</f>
        <v>0.61595026912288686</v>
      </c>
      <c r="D3" s="49">
        <f>'Table 1 - Woolworths Financials'!D22/'Table 1 - Woolworths Financials'!D60</f>
        <v>0.6828740753557988</v>
      </c>
      <c r="E3" s="49">
        <f>'Table 1 - Woolworths Financials'!E22/'Table 1 - Woolworths Financials'!E60</f>
        <v>0.56837209302325586</v>
      </c>
      <c r="F3" s="49">
        <f>'Table 1 - Woolworths Financials'!F22/'Table 1 - Woolworths Financials'!F60</f>
        <v>0.5363452801615346</v>
      </c>
    </row>
    <row r="4" spans="1:6">
      <c r="A4" s="8" t="s">
        <v>175</v>
      </c>
      <c r="B4" s="49">
        <f>('Table 1 - Woolworths Financials'!B22-'Table 1 - Woolworths Financials'!B14-'Table 1 - Woolworths Financials'!B12)/'Table 1 - Woolworths Financials'!B60</f>
        <v>0.20951276102088168</v>
      </c>
      <c r="C4" s="49">
        <f>('Table 1 - Woolworths Financials'!C22-'Table 1 - Woolworths Financials'!C14-'Table 1 - Woolworths Financials'!C12)/'Table 1 - Woolworths Financials'!C60</f>
        <v>0.26525661435827458</v>
      </c>
      <c r="D4" s="49">
        <f>('Table 1 - Woolworths Financials'!D22-'Table 1 - Woolworths Financials'!D14-'Table 1 - Woolworths Financials'!D12)/'Table 1 - Woolworths Financials'!D60</f>
        <v>0.54007872993900596</v>
      </c>
      <c r="E4" s="49">
        <f>('Table 1 - Woolworths Financials'!E22-'Table 1 - Woolworths Financials'!E14-'Table 1 - Woolworths Financials'!E12)/'Table 1 - Woolworths Financials'!E60</f>
        <v>0.21665116279069768</v>
      </c>
      <c r="F4" s="49">
        <f>('Table 1 - Woolworths Financials'!F22-'Table 1 - Woolworths Financials'!F14)/'Table 1 - Woolworths Financials'!F60</f>
        <v>0.22522295137136125</v>
      </c>
    </row>
    <row r="5" spans="1:6">
      <c r="A5" s="8" t="s">
        <v>176</v>
      </c>
      <c r="B5" s="49">
        <f>('Table 1 - Woolworths Financials'!B5+'Table 1 - Woolworths Financials'!B13+'Table 1 - Woolworths Financials'!B21)/'Table 1 - Woolworths Financials'!B60</f>
        <v>0.22888631090487238</v>
      </c>
      <c r="C5" s="49">
        <f>('Table 1 - Woolworths Financials'!C5+'Table 1 - Woolworths Financials'!C13+'Table 1 - Woolworths Financials'!C21)/'Table 1 - Woolworths Financials'!C60</f>
        <v>0.23811689788492155</v>
      </c>
      <c r="D5" s="49">
        <f>('Table 1 - Woolworths Financials'!D5+'Table 1 - Woolworths Financials'!D13+'Table 1 - Woolworths Financials'!D21)/'Table 1 - Woolworths Financials'!D60</f>
        <v>0.54578881342734786</v>
      </c>
      <c r="E5" s="49">
        <f>('Table 1 - Woolworths Financials'!E5+'Table 1 - Woolworths Financials'!E13+'Table 1 - Woolworths Financials'!E21)/'Table 1 - Woolworths Financials'!E60</f>
        <v>0.2198139534883721</v>
      </c>
      <c r="F5" s="49">
        <f>('Table 1 - Woolworths Financials'!F5+'Table 1 - Woolworths Financials'!F13+'Table 1 - Woolworths Financials'!F21)/'Table 1 - Woolworths Financials'!F60</f>
        <v>0.20200235571260305</v>
      </c>
    </row>
    <row r="6" spans="1:6">
      <c r="A6" s="8" t="s">
        <v>177</v>
      </c>
      <c r="B6" s="49"/>
      <c r="C6" s="49">
        <f>'Table 1 - Woolworths Financials'!C161/(('Table 1 - Woolworths Financials'!C60+'Table 1 - Woolworths Financials'!B60)/2)</f>
        <v>2.393287790564394E-2</v>
      </c>
      <c r="D6" s="24"/>
      <c r="E6" s="24"/>
      <c r="F6" s="24"/>
    </row>
    <row r="7" spans="1:6">
      <c r="A7" s="8" t="s">
        <v>178</v>
      </c>
      <c r="B7" s="49">
        <f>365*B4/((-'Table 1 - Woolworths Financials'!B92)+(-'Table 1 - Woolworths Financials'!B95)+(-'Table 1 - Woolworths Financials'!B96))</f>
        <v>1.32032938712032E-6</v>
      </c>
      <c r="C7" s="49">
        <f>365*C4/((-'Table 1 - Woolworths Financials'!C92)+(-'Table 1 - Woolworths Financials'!C95)+(-'Table 1 - Woolworths Financials'!C96))</f>
        <v>1.9533675827856393E-6</v>
      </c>
      <c r="D7" s="49">
        <f>365*D4/((-'Table 1 - Woolworths Financials'!D92)+(-'Table 1 - Woolworths Financials'!D95)+(-'Table 1 - Woolworths Financials'!D96))</f>
        <v>3.7202524425858154E-6</v>
      </c>
      <c r="E7" s="49">
        <f>365*E4/((-'Table 1 - Woolworths Financials'!E92)+(-'Table 1 - Woolworths Financials'!E95)+(-'Table 1 - Woolworths Financials'!E96))</f>
        <v>1.3527957303670287E-6</v>
      </c>
      <c r="F7" s="49">
        <f>365*F4/((-'Table 1 - Woolworths Financials'!F92)+(-'Table 1 - Woolworths Financials'!F95)+(-'Table 1 - Woolworths Financials'!F96))</f>
        <v>1.3351259866586574E-6</v>
      </c>
    </row>
    <row r="8" spans="1:6">
      <c r="A8" s="8" t="s">
        <v>179</v>
      </c>
      <c r="B8" s="51">
        <f>'Table 1 - Woolworths Financials'!B22 -'Table 1 - Woolworths Financials'!B60</f>
        <v>-2322000</v>
      </c>
      <c r="C8" s="51">
        <f>'Table 1 - Woolworths Financials'!C22 -'Table 1 - Woolworths Financials'!C60</f>
        <v>-5066000</v>
      </c>
      <c r="D8" s="51">
        <f>'Table 1 - Woolworths Financials'!D22 -'Table 1 - Woolworths Financials'!D60</f>
        <v>-7331000</v>
      </c>
      <c r="E8" s="51">
        <f>'Table 1 - Woolworths Financials'!E22 -'Table 1 - Woolworths Financials'!E60</f>
        <v>-4640000</v>
      </c>
      <c r="F8" s="51">
        <f>'Table 1 - Woolworths Financials'!F22 -'Table 1 - Woolworths Financials'!F60</f>
        <v>-5511000</v>
      </c>
    </row>
    <row r="9" spans="1:6" ht="13.15">
      <c r="A9" s="10" t="s">
        <v>180</v>
      </c>
      <c r="B9" s="50"/>
      <c r="C9" s="50"/>
      <c r="D9" s="50"/>
      <c r="E9" s="50"/>
      <c r="F9" s="50"/>
    </row>
    <row r="10" spans="1:6">
      <c r="A10" s="8" t="s">
        <v>181</v>
      </c>
      <c r="B10" s="49"/>
      <c r="C10" s="49">
        <f>'Table 1 - Woolworths Financials'!C90/(('Table 1 - Woolworths Financials'!C8+'Table 1 - Woolworths Financials'!B8)/2)</f>
        <v>511.4457831325301</v>
      </c>
      <c r="D10" s="49">
        <f>'Table 1 - Woolworths Financials'!D90/(('Table 1 - Woolworths Financials'!D8+'Table 1 - Woolworths Financials'!C8)/2)</f>
        <v>430.06949806949808</v>
      </c>
      <c r="E10" s="49">
        <f>'Table 1 - Woolworths Financials'!E90/(('Table 1 - Woolworths Financials'!E8+'Table 1 - Woolworths Financials'!D8)/2)</f>
        <v>301.23267326732673</v>
      </c>
      <c r="F10" s="49">
        <f>'Table 1 - Woolworths Financials'!F91/(('Table 1 - Woolworths Financials'!F8+'Table 1 - Woolworths Financials'!E8)/2)</f>
        <v>193.65662650602408</v>
      </c>
    </row>
    <row r="11" spans="1:6">
      <c r="A11" s="8" t="s">
        <v>182</v>
      </c>
      <c r="B11" s="49"/>
      <c r="C11" s="49">
        <f t="shared" ref="C11:F11" si="0">365/C10</f>
        <v>0.71366313309776208</v>
      </c>
      <c r="D11" s="49">
        <f t="shared" si="0"/>
        <v>0.84870003950156203</v>
      </c>
      <c r="E11" s="49">
        <f t="shared" si="0"/>
        <v>1.2116879488570067</v>
      </c>
      <c r="F11" s="49">
        <f t="shared" si="0"/>
        <v>1.8847792951130744</v>
      </c>
    </row>
    <row r="12" spans="1:6">
      <c r="A12" s="8" t="s">
        <v>183</v>
      </c>
      <c r="B12" s="49"/>
      <c r="C12" s="49">
        <f>(-'Table 1 - Woolworths Financials'!C92)/(('Table 1 - Woolworths Financials'!C14+'Table 1 - Woolworths Financials'!B14)/2)</f>
        <v>10.35230663300436</v>
      </c>
      <c r="D12" s="49">
        <f>(-'Table 1 - Woolworths Financials'!D92)/(('Table 1 - Woolworths Financials'!D14+'Table 1 - Woolworths Financials'!C14)/2)</f>
        <v>10.406026962727994</v>
      </c>
      <c r="E12" s="49">
        <f>(-'Table 1 - Woolworths Financials'!E92)/(('Table 1 - Woolworths Financials'!E14+'Table 1 - Woolworths Financials'!D14)/2)</f>
        <v>12.730706319702602</v>
      </c>
      <c r="F12" s="49">
        <f>(-'Table 1 - Woolworths Financials'!F92)/(('Table 1 - Woolworths Financials'!F14+'Table 1 - Woolworths Financials'!E14)/2)</f>
        <v>12.924975997805513</v>
      </c>
    </row>
    <row r="13" spans="1:6">
      <c r="A13" s="8" t="s">
        <v>184</v>
      </c>
      <c r="B13" s="49"/>
      <c r="C13" s="49">
        <f t="shared" ref="C13:F13" si="1">365/C12</f>
        <v>35.257842811218268</v>
      </c>
      <c r="D13" s="49">
        <f t="shared" si="1"/>
        <v>35.075826855662243</v>
      </c>
      <c r="E13" s="49">
        <f t="shared" si="1"/>
        <v>28.670836545424816</v>
      </c>
      <c r="F13" s="49">
        <f t="shared" si="1"/>
        <v>28.239897703637677</v>
      </c>
    </row>
    <row r="14" spans="1:6">
      <c r="A14" s="8" t="s">
        <v>185</v>
      </c>
      <c r="B14" s="49"/>
      <c r="C14" s="49">
        <f>((-'Table 1 - Woolworths Financials'!C92)+('Table 1 - Woolworths Financials'!C14-'Table 1 - Woolworths Financials'!B14))/(('Table 1 - Woolworths Financials'!B48+'Table 1 - Woolworths Financials'!C48)/2)</f>
        <v>6.3816976875352509</v>
      </c>
      <c r="D14" s="49">
        <f>((-'Table 1 - Woolworths Financials'!D92)+('Table 1 - Woolworths Financials'!D14-'Table 1 - Woolworths Financials'!C14))/(('Table 1 - Woolworths Financials'!C48+'Table 1 - Woolworths Financials'!D48)/2)</f>
        <v>5.4474418604651165</v>
      </c>
      <c r="E14" s="49">
        <f>((-'Table 1 - Woolworths Financials'!E92)+('Table 1 - Woolworths Financials'!E14-'Table 1 - Woolworths Financials'!D14))/(('Table 1 - Woolworths Financials'!D48+'Table 1 - Woolworths Financials'!E48)/2)</f>
        <v>6.4248273813943131</v>
      </c>
      <c r="F14" s="49">
        <f>((-'Table 1 - Woolworths Financials'!F92)+('Table 1 - Woolworths Financials'!F14-'Table 1 - Woolworths Financials'!E14))/(('Table 1 - Woolworths Financials'!E48+'Table 1 - Woolworths Financials'!F48)/2)</f>
        <v>6.4578461538461536</v>
      </c>
    </row>
    <row r="15" spans="1:6">
      <c r="A15" s="8" t="s">
        <v>186</v>
      </c>
      <c r="B15" s="49"/>
      <c r="C15" s="49">
        <f t="shared" ref="C15:E15" si="2">365/C14</f>
        <v>57.194812081574938</v>
      </c>
      <c r="D15" s="49">
        <f t="shared" si="2"/>
        <v>67.003927595628411</v>
      </c>
      <c r="E15" s="49">
        <f t="shared" si="2"/>
        <v>56.81086484237774</v>
      </c>
      <c r="F15" s="49">
        <f>365/F14</f>
        <v>56.520392605298269</v>
      </c>
    </row>
    <row r="16" spans="1:6">
      <c r="A16" s="8" t="s">
        <v>187</v>
      </c>
      <c r="B16" s="49"/>
      <c r="C16" s="49">
        <f t="shared" ref="C16:F16" si="3">C11+C13</f>
        <v>35.971505944316029</v>
      </c>
      <c r="D16" s="49">
        <f t="shared" si="3"/>
        <v>35.924526895163808</v>
      </c>
      <c r="E16" s="49">
        <f t="shared" si="3"/>
        <v>29.882524494281824</v>
      </c>
      <c r="F16" s="49">
        <f t="shared" si="3"/>
        <v>30.124676998750751</v>
      </c>
    </row>
    <row r="17" spans="1:6">
      <c r="A17" s="8" t="s">
        <v>188</v>
      </c>
      <c r="B17" s="49"/>
      <c r="C17" s="49">
        <f t="shared" ref="C17:F17" si="4">C16-C15</f>
        <v>-21.223306137258909</v>
      </c>
      <c r="D17" s="49">
        <f t="shared" si="4"/>
        <v>-31.079400700464603</v>
      </c>
      <c r="E17" s="49">
        <f t="shared" si="4"/>
        <v>-26.928340348095915</v>
      </c>
      <c r="F17" s="49">
        <f t="shared" si="4"/>
        <v>-26.395715606547519</v>
      </c>
    </row>
    <row r="18" spans="1:6">
      <c r="A18" s="8" t="s">
        <v>189</v>
      </c>
      <c r="B18" s="49"/>
      <c r="C18" s="49">
        <f>'Table 1 - Woolworths Financials'!C90/((B8+C8)/2)</f>
        <v>-17.237412019491067</v>
      </c>
      <c r="D18" s="49">
        <f>'Table 1 - Woolworths Financials'!D90/((C8+D8)/2)</f>
        <v>-8.9850770347664763</v>
      </c>
      <c r="E18" s="49">
        <f>'Table 1 - Woolworths Financials'!E90/((D8+E8)/2)</f>
        <v>-10.166067997661013</v>
      </c>
      <c r="F18" s="49">
        <f>'Table 1 - Woolworths Financials'!F91/((E8+F8)/2)</f>
        <v>-12.66752044133583</v>
      </c>
    </row>
    <row r="19" spans="1:6">
      <c r="A19" s="8" t="s">
        <v>190</v>
      </c>
      <c r="B19" s="49"/>
      <c r="C19" s="49">
        <f>'Table 1 - Woolworths Financials'!C90/(('Table 1 - Woolworths Financials'!B30+'Table 1 - Woolworths Financials'!C30)/2)</f>
        <v>6.9738787580088717</v>
      </c>
      <c r="D19" s="49">
        <f>'Table 1 - Woolworths Financials'!D90/(('Table 1 - Woolworths Financials'!C30+'Table 1 - Woolworths Financials'!D30)/2)</f>
        <v>6.8677477033109318</v>
      </c>
      <c r="E19" s="49">
        <f>'Table 1 - Woolworths Financials'!E90/(('Table 1 - Woolworths Financials'!D30+'Table 1 - Woolworths Financials'!E30)/2)</f>
        <v>7.7475171886936591</v>
      </c>
      <c r="F19" s="49">
        <f>'Table 1 - Woolworths Financials'!F91/(('Table 1 - Woolworths Financials'!E30+'Table 1 - Woolworths Financials'!F30)/2)</f>
        <v>7.5144927536231885</v>
      </c>
    </row>
    <row r="20" spans="1:6">
      <c r="A20" s="8" t="s">
        <v>191</v>
      </c>
      <c r="B20" s="49"/>
      <c r="C20" s="49">
        <f>'Table 1 - Woolworths Financials'!C90/(('Table 1 - Woolworths Financials'!C43+'Table 1 - Woolworths Financials'!B43)/2)</f>
        <v>2.0552587834675533</v>
      </c>
      <c r="D20" s="49">
        <f>'Table 1 - Woolworths Financials'!D90/(('Table 1 - Woolworths Financials'!D43+'Table 1 - Woolworths Financials'!C43)/2)</f>
        <v>1.4334174087610028</v>
      </c>
      <c r="E20" s="49">
        <f>'Table 1 - Woolworths Financials'!E90/(('Table 1 - Woolworths Financials'!E43+'Table 1 - Woolworths Financials'!D43)/2)</f>
        <v>1.6783847522376532</v>
      </c>
      <c r="F20" s="49">
        <f>'Table 1 - Woolworths Financials'!F91/(('Table 1 - Woolworths Financials'!F43+'Table 1 - Woolworths Financials'!E43)/2)</f>
        <v>1.9214895174907727</v>
      </c>
    </row>
    <row r="21" spans="1:6" ht="13.15">
      <c r="A21" s="10" t="s">
        <v>192</v>
      </c>
      <c r="B21" s="50"/>
      <c r="C21" s="50"/>
      <c r="D21" s="50"/>
      <c r="E21" s="50"/>
      <c r="F21" s="50"/>
    </row>
    <row r="22" spans="1:6">
      <c r="A22" s="8" t="s">
        <v>193</v>
      </c>
      <c r="B22" s="49"/>
      <c r="C22" s="49">
        <f>'Table 1 - Woolworths Financials'!C110/(('Table 1 - Woolworths Financials'!C86+'Table 1 - Woolworths Financials'!B86)/2)</f>
        <v>0.12273488655398203</v>
      </c>
      <c r="D22" s="49">
        <f>'Table 1 - Woolworths Financials'!D110/(('Table 1 - Woolworths Financials'!D86+'Table 1 - Woolworths Financials'!C86)/2)</f>
        <v>0.39717760653606909</v>
      </c>
      <c r="E22" s="49">
        <f>'Table 1 - Woolworths Financials'!E110/(('Table 1 - Woolworths Financials'!E86+'Table 1 - Woolworths Financials'!D86)/2)</f>
        <v>2.0257554507203874</v>
      </c>
      <c r="F22" s="49">
        <f>'Table 1 - Woolworths Financials'!F110/(('Table 1 - Woolworths Financials'!F86+'Table 1 - Woolworths Financials'!E86)/2)</f>
        <v>0.25716315415581342</v>
      </c>
    </row>
    <row r="23" spans="1:6">
      <c r="A23" s="8" t="s">
        <v>194</v>
      </c>
      <c r="B23" s="49"/>
      <c r="C23" s="49">
        <f>'Table 1 - Woolworths Financials'!C110/(('Table 1 - Woolworths Financials'!C43+'Table 1 - Woolworths Financials'!B43)/2)</f>
        <v>3.9023288091280278E-2</v>
      </c>
      <c r="D23" s="49">
        <f>'Table 1 - Woolworths Financials'!D110/(('Table 1 - Woolworths Financials'!D43+'Table 1 - Woolworths Financials'!C43)/2)</f>
        <v>5.5052246872908842E-2</v>
      </c>
      <c r="E23" s="49">
        <f>'Table 1 - Woolworths Financials'!E110/(('Table 1 - Woolworths Financials'!E43+'Table 1 - Woolworths Financials'!D43)/2)</f>
        <v>0.21911762677736557</v>
      </c>
      <c r="F23" s="49">
        <f>'Table 1 - Woolworths Financials'!F110/(('Table 1 - Woolworths Financials'!F43+'Table 1 - Woolworths Financials'!E43)/2)</f>
        <v>4.8684269511812435E-2</v>
      </c>
    </row>
    <row r="24" spans="1:6">
      <c r="A24" s="8" t="s">
        <v>195</v>
      </c>
      <c r="B24" s="49"/>
      <c r="C24" s="50"/>
      <c r="D24" s="50"/>
      <c r="E24" s="50"/>
      <c r="F24" s="50"/>
    </row>
    <row r="25" spans="1:6">
      <c r="A25" s="53" t="s">
        <v>196</v>
      </c>
      <c r="B25" s="54">
        <f>'Table 1 - Woolworths Financials'!B93/'Table 1 - Woolworths Financials'!B90</f>
        <v>0.29077754067751399</v>
      </c>
      <c r="C25" s="54">
        <f>'Table 1 - Woolworths Financials'!C93/'Table 1 - Woolworths Financials'!C90</f>
        <v>0.29163722025912836</v>
      </c>
      <c r="D25" s="54">
        <f>'Table 1 - Woolworths Financials'!D93/'Table 1 - Woolworths Financials'!D90</f>
        <v>0.29317341185765072</v>
      </c>
      <c r="E25" s="54">
        <f>'Table 1 - Woolworths Financials'!E93/'Table 1 - Woolworths Financials'!E90</f>
        <v>0.29650446186461571</v>
      </c>
      <c r="F25" s="54">
        <f>'Table 1 - Woolworths Financials'!F93/'Table 1 - Woolworths Financials'!F91</f>
        <v>0.26714778984042059</v>
      </c>
    </row>
    <row r="26" spans="1:6">
      <c r="A26" s="8" t="s">
        <v>197</v>
      </c>
      <c r="B26" s="49">
        <f>'Table 1 - Woolworths Financials'!B97/'Table 1 - Woolworths Financials'!B90</f>
        <v>3.922712723392905E-2</v>
      </c>
      <c r="C26" s="49">
        <f>'Table 1 - Woolworths Financials'!C97/'Table 1 - Woolworths Financials'!C90</f>
        <v>4.1272084805653711E-2</v>
      </c>
      <c r="D26" s="49">
        <f>'Table 1 - Woolworths Financials'!D97/'Table 1 - Woolworths Financials'!D90</f>
        <v>5.0687686285775843E-2</v>
      </c>
      <c r="E26" s="49">
        <f>'Table 1 - Woolworths Financials'!E97/'Table 1 - Woolworths Financials'!E90</f>
        <v>4.4224227185327612E-2</v>
      </c>
      <c r="F26" s="49">
        <f>'Table 1 - Woolworths Financials'!F97/'Table 1 - Woolworths Financials'!F91</f>
        <v>4.6645099076119079E-2</v>
      </c>
    </row>
    <row r="27" spans="1:6" ht="14.25">
      <c r="A27" s="8" t="s">
        <v>198</v>
      </c>
      <c r="B27" s="49">
        <f>'Table 1 - Woolworths Financials'!B110/'Table 1 - Woolworths Financials'!B90</f>
        <v>4.5995598826353692E-2</v>
      </c>
      <c r="C27" s="49">
        <f>'Table 1 - Woolworths Financials'!C110/'Table 1 - Woolworths Financials'!C90</f>
        <v>1.8987043580683156E-2</v>
      </c>
      <c r="D27" s="49">
        <f>'Table 1 - Woolworths Financials'!D110/'Table 1 - Woolworths Financials'!D90</f>
        <v>3.840629152152835E-2</v>
      </c>
      <c r="E27" s="55">
        <f>'Table 1 - Woolworths Financials'!E110/'Table 1 - Woolworths Financials'!E90</f>
        <v>0.130552679583888</v>
      </c>
      <c r="F27" s="55">
        <f>'Table 1 - Woolworths Financials'!F110/'Table 1 - Woolworths Financials'!F91</f>
        <v>2.5336734376458146E-2</v>
      </c>
    </row>
    <row r="28" spans="1:6">
      <c r="A28" s="8" t="s">
        <v>199</v>
      </c>
      <c r="B28" s="49"/>
      <c r="C28" s="49">
        <f>'Table 1 - Woolworths Financials'!C161/(('Table 1 - Woolworths Financials'!C43+'Table 1 - Woolworths Financials'!B43)/2)</f>
        <v>8.4243822926585218E-3</v>
      </c>
      <c r="D28" s="50"/>
      <c r="E28" s="50"/>
      <c r="F28" s="50"/>
    </row>
    <row r="29" spans="1:6">
      <c r="A29" s="8" t="s">
        <v>200</v>
      </c>
      <c r="B29" s="49">
        <f>'Table 1 - Woolworths Financials'!B118</f>
        <v>2.0619999999999998</v>
      </c>
      <c r="C29" s="49">
        <f>'Table 1 - Woolworths Financials'!C118</f>
        <v>0.92700000000000005</v>
      </c>
      <c r="D29" s="49">
        <f>'Table 1 - Woolworths Financials'!D118</f>
        <v>1.65</v>
      </c>
      <c r="E29" s="49">
        <f>'Table 1 - Woolworths Financials'!E118</f>
        <v>6.4960000000000004</v>
      </c>
      <c r="F29" s="49">
        <f>'Table 1 - Woolworths Financials'!F118</f>
        <v>1.333</v>
      </c>
    </row>
    <row r="30" spans="1:6" ht="13.15">
      <c r="A30" s="10" t="s">
        <v>201</v>
      </c>
      <c r="B30" s="50"/>
      <c r="C30" s="50"/>
      <c r="D30" s="50"/>
      <c r="E30" s="50"/>
      <c r="F30" s="50"/>
    </row>
    <row r="31" spans="1:6">
      <c r="A31" s="8" t="s">
        <v>202</v>
      </c>
      <c r="B31" s="49">
        <f>'Table 1 - Woolworths Financials'!B72/'Table 1 - Woolworths Financials'!B43</f>
        <v>0.54582606104465536</v>
      </c>
      <c r="C31" s="49">
        <f>'Table 1 - Woolworths Financials'!C72/'Table 1 - Woolworths Financials'!C43</f>
        <v>0.76523185693491369</v>
      </c>
      <c r="D31" s="49">
        <f>'Table 1 - Woolworths Financials'!D72/'Table 1 - Woolworths Financials'!D43</f>
        <v>0.95567845855846667</v>
      </c>
      <c r="E31" s="49">
        <f>'Table 1 - Woolworths Financials'!E72/'Table 1 - Woolworths Financials'!E43</f>
        <v>0.81654795179274486</v>
      </c>
      <c r="F31" s="49">
        <f>'Table 1 - Woolworths Financials'!F72/'Table 1 - Woolworths Financials'!F43</f>
        <v>0.80489182120779834</v>
      </c>
    </row>
    <row r="32" spans="1:6">
      <c r="A32" s="8" t="s">
        <v>203</v>
      </c>
      <c r="B32" s="49">
        <f>'Table 1 - Woolworths Financials'!B72/'Table 1 - Woolworths Financials'!B86</f>
        <v>1.201799606336114</v>
      </c>
      <c r="C32" s="49">
        <f>'Table 1 - Woolworths Financials'!C72/'Table 1 - Woolworths Financials'!C86</f>
        <v>3.2595217006200179</v>
      </c>
      <c r="D32" s="49">
        <f>'Table 1 - Woolworths Financials'!D72/'Table 1 - Woolworths Financials'!D86</f>
        <v>21.562392179413457</v>
      </c>
      <c r="E32" s="49">
        <f>'Table 1 - Woolworths Financials'!E72/'Table 1 - Woolworths Financials'!E86</f>
        <v>4.4510157273918738</v>
      </c>
      <c r="F32" s="49">
        <f>'Table 1 - Woolworths Financials'!F72/'Table 1 - Woolworths Financials'!F86</f>
        <v>4.1253617669459253</v>
      </c>
    </row>
    <row r="33" spans="1:6">
      <c r="A33" s="8" t="s">
        <v>204</v>
      </c>
      <c r="B33" s="49"/>
      <c r="C33" s="49">
        <f>(('Table 1 - Woolworths Financials'!C43+'Table 1 - Woolworths Financials'!B43)/2)/(('Table 1 - Woolworths Financials'!C86+'Table 1 - Woolworths Financials'!B86)/2)</f>
        <v>3.1451702959240646</v>
      </c>
      <c r="D33" s="49">
        <f>(('Table 1 - Woolworths Financials'!D43+'Table 1 - Woolworths Financials'!C43)/2)/(('Table 1 - Woolworths Financials'!D86+'Table 1 - Woolworths Financials'!C86)/2)</f>
        <v>7.2145576083929068</v>
      </c>
      <c r="E33" s="49">
        <f>(('Table 1 - Woolworths Financials'!E43+'Table 1 - Woolworths Financials'!D43)/2)/(('Table 1 - Woolworths Financials'!E86+'Table 1 - Woolworths Financials'!D86)/2)</f>
        <v>9.2450592885375489</v>
      </c>
      <c r="F33" s="49">
        <f>(('Table 1 - Woolworths Financials'!F43+'Table 1 - Woolworths Financials'!E43)/2)/(('Table 1 - Woolworths Financials'!F86+'Table 1 - Woolworths Financials'!E86)/2)</f>
        <v>5.2822637935117216</v>
      </c>
    </row>
    <row r="34" spans="1:6">
      <c r="A34" s="8" t="s">
        <v>205</v>
      </c>
      <c r="B34" s="49">
        <f>'Table 1 - Woolworths Financials'!B97/'Table 1 - Woolworths Financials'!B101</f>
        <v>60.333333333333336</v>
      </c>
      <c r="C34" s="49">
        <f>'Table 1 - Woolworths Financials'!C97/'Table 1 - Woolworths Financials'!C101</f>
        <v>262.8</v>
      </c>
      <c r="D34" s="49">
        <f>'Table 1 - Woolworths Financials'!D97/'Table 1 - Woolworths Financials'!D101</f>
        <v>282.3</v>
      </c>
      <c r="E34" s="49">
        <f>'Table 1 - Woolworths Financials'!E97/'Table 1 - Woolworths Financials'!E101</f>
        <v>207</v>
      </c>
      <c r="F34" s="49">
        <f>'Table 1 - Woolworths Financials'!F97/'Table 1 - Woolworths Financials'!F101</f>
        <v>107.10714285714286</v>
      </c>
    </row>
    <row r="35" spans="1:6">
      <c r="A35" t="s">
        <v>206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F586-290E-42AE-A49D-40CC3FEBCC5B}">
  <dimension ref="A1:L107"/>
  <sheetViews>
    <sheetView showGridLines="0" workbookViewId="0">
      <selection activeCell="A33" sqref="A33"/>
    </sheetView>
  </sheetViews>
  <sheetFormatPr defaultColWidth="8.85546875" defaultRowHeight="12.75"/>
  <cols>
    <col min="1" max="1" width="91.140625" bestFit="1" customWidth="1"/>
    <col min="2" max="4" width="11.140625" style="35" bestFit="1" customWidth="1"/>
    <col min="5" max="6" width="12" style="35" bestFit="1" customWidth="1"/>
    <col min="7" max="7" width="24.28515625" customWidth="1"/>
    <col min="8" max="8" width="12" bestFit="1" customWidth="1"/>
  </cols>
  <sheetData>
    <row r="1" spans="1:12" ht="20.65">
      <c r="A1" s="1" t="s">
        <v>207</v>
      </c>
      <c r="B1" s="21"/>
      <c r="C1" s="14"/>
      <c r="D1" s="14"/>
      <c r="E1" s="14"/>
      <c r="F1" s="14"/>
    </row>
    <row r="2" spans="1:12" ht="18.75">
      <c r="A2" s="34" t="s">
        <v>208</v>
      </c>
      <c r="B2" s="47" t="s">
        <v>1</v>
      </c>
      <c r="C2" s="47" t="s">
        <v>2</v>
      </c>
      <c r="D2" s="47" t="s">
        <v>3</v>
      </c>
      <c r="E2" s="47" t="s">
        <v>4</v>
      </c>
      <c r="F2" s="47" t="s">
        <v>5</v>
      </c>
    </row>
    <row r="3" spans="1:12">
      <c r="A3" s="26" t="s">
        <v>209</v>
      </c>
      <c r="B3" s="52" t="s">
        <v>210</v>
      </c>
      <c r="C3" s="52" t="s">
        <v>210</v>
      </c>
      <c r="D3" s="52" t="s">
        <v>210</v>
      </c>
      <c r="E3" s="52" t="s">
        <v>210</v>
      </c>
      <c r="F3" s="52" t="s">
        <v>210</v>
      </c>
    </row>
    <row r="4" spans="1:12">
      <c r="A4" s="25" t="s">
        <v>211</v>
      </c>
      <c r="B4" s="35">
        <v>38175.800000000003</v>
      </c>
      <c r="C4" s="35">
        <v>37408</v>
      </c>
      <c r="D4" s="35">
        <v>38562</v>
      </c>
      <c r="E4" s="35">
        <v>38237</v>
      </c>
      <c r="F4" s="35">
        <v>40483</v>
      </c>
      <c r="H4" s="60" t="s">
        <v>212</v>
      </c>
      <c r="I4" s="60">
        <f>(C4-B4)/B4*100</f>
        <v>-2.0112217687645129</v>
      </c>
      <c r="J4" s="60">
        <f>(D4-C4)/C4*100</f>
        <v>3.084901625320787</v>
      </c>
      <c r="K4" s="60">
        <f t="shared" ref="I4:K4" si="0">(E4-D4)/D4*100</f>
        <v>-0.84279861003060019</v>
      </c>
      <c r="L4" s="60">
        <f>(F4-E4)/E4*100</f>
        <v>5.8738917802128832</v>
      </c>
    </row>
    <row r="5" spans="1:12">
      <c r="A5" s="25" t="s">
        <v>213</v>
      </c>
      <c r="B5" s="35">
        <v>288.39999999999998</v>
      </c>
      <c r="C5" s="35">
        <v>376</v>
      </c>
      <c r="D5" s="35">
        <v>370</v>
      </c>
      <c r="E5" s="35">
        <v>104</v>
      </c>
      <c r="F5" s="35">
        <v>108</v>
      </c>
    </row>
    <row r="6" spans="1:12">
      <c r="A6" s="26" t="s">
        <v>214</v>
      </c>
      <c r="B6" s="35">
        <v>38464.199999999997</v>
      </c>
      <c r="C6" s="35">
        <v>37784</v>
      </c>
      <c r="D6" s="35">
        <v>38932</v>
      </c>
      <c r="E6" s="35">
        <v>38341</v>
      </c>
      <c r="F6" s="35">
        <v>40591</v>
      </c>
    </row>
    <row r="7" spans="1:12">
      <c r="A7" s="25" t="s">
        <v>83</v>
      </c>
      <c r="B7" s="35">
        <v>-29253.4</v>
      </c>
      <c r="C7" s="35">
        <v>-28043</v>
      </c>
      <c r="D7" s="35">
        <v>-28773</v>
      </c>
      <c r="E7" s="35">
        <v>-28396</v>
      </c>
      <c r="F7" s="35">
        <v>-30034</v>
      </c>
      <c r="G7" s="58" t="s">
        <v>215</v>
      </c>
      <c r="H7" s="60">
        <f>(F7-E7)/E7*100</f>
        <v>5.7684180870545143</v>
      </c>
    </row>
    <row r="8" spans="1:12">
      <c r="A8" s="26" t="s">
        <v>85</v>
      </c>
      <c r="B8" s="35">
        <v>9210.7999999999993</v>
      </c>
      <c r="C8" s="35">
        <v>9741</v>
      </c>
      <c r="D8" s="35">
        <v>10159</v>
      </c>
      <c r="E8" s="35">
        <v>9945</v>
      </c>
      <c r="F8" s="35">
        <v>10557</v>
      </c>
    </row>
    <row r="9" spans="1:12">
      <c r="A9" s="25" t="s">
        <v>86</v>
      </c>
      <c r="B9" s="35">
        <v>427.7</v>
      </c>
      <c r="C9" s="35">
        <v>108</v>
      </c>
      <c r="D9" s="35">
        <v>111</v>
      </c>
      <c r="E9" s="35">
        <v>86</v>
      </c>
      <c r="F9" s="35">
        <v>163</v>
      </c>
    </row>
    <row r="10" spans="1:12">
      <c r="A10" s="25" t="s">
        <v>88</v>
      </c>
      <c r="B10" s="35">
        <v>-8031</v>
      </c>
      <c r="C10" s="35">
        <v>-8081</v>
      </c>
      <c r="D10" s="35">
        <v>-8392</v>
      </c>
      <c r="E10" s="35">
        <v>-8197</v>
      </c>
      <c r="F10" s="35">
        <v>-8848</v>
      </c>
    </row>
    <row r="11" spans="1:12">
      <c r="A11" s="25" t="s">
        <v>216</v>
      </c>
      <c r="B11" s="35">
        <v>-145.80000000000001</v>
      </c>
    </row>
    <row r="12" spans="1:12">
      <c r="A12" s="25" t="s">
        <v>217</v>
      </c>
      <c r="B12" s="35">
        <v>-5</v>
      </c>
      <c r="C12" s="35">
        <v>-6</v>
      </c>
      <c r="D12" s="35">
        <v>-5</v>
      </c>
      <c r="E12" s="35">
        <v>-7</v>
      </c>
      <c r="F12" s="35">
        <v>-13</v>
      </c>
    </row>
    <row r="13" spans="1:12" s="12" customFormat="1" ht="13.15">
      <c r="A13" s="26" t="s">
        <v>218</v>
      </c>
      <c r="B13" s="35">
        <v>1466.7</v>
      </c>
      <c r="C13" s="35">
        <v>1762</v>
      </c>
      <c r="D13" s="35">
        <v>1873</v>
      </c>
      <c r="E13" s="35">
        <v>1827</v>
      </c>
      <c r="F13" s="35">
        <v>1859</v>
      </c>
    </row>
    <row r="14" spans="1:12">
      <c r="A14" s="25" t="s">
        <v>219</v>
      </c>
      <c r="B14" s="35">
        <v>-41.5</v>
      </c>
      <c r="C14" s="35">
        <v>-443</v>
      </c>
      <c r="D14" s="35">
        <v>-427</v>
      </c>
      <c r="E14" s="35">
        <v>-360</v>
      </c>
      <c r="F14" s="35">
        <v>-394</v>
      </c>
    </row>
    <row r="15" spans="1:12">
      <c r="A15" s="25" t="s">
        <v>97</v>
      </c>
      <c r="B15" s="35">
        <v>1425.2</v>
      </c>
      <c r="C15" s="35">
        <v>1319</v>
      </c>
      <c r="D15" s="35">
        <v>1446</v>
      </c>
      <c r="E15" s="35">
        <v>1467</v>
      </c>
      <c r="F15" s="35">
        <v>1465</v>
      </c>
    </row>
    <row r="16" spans="1:12">
      <c r="A16" s="25" t="s">
        <v>220</v>
      </c>
      <c r="B16" s="35">
        <v>-347</v>
      </c>
      <c r="C16" s="35">
        <v>-341</v>
      </c>
      <c r="D16" s="35">
        <v>-441</v>
      </c>
      <c r="E16" s="35">
        <v>-422</v>
      </c>
      <c r="F16" s="35">
        <v>-423</v>
      </c>
    </row>
    <row r="17" spans="1:6">
      <c r="A17" s="26" t="s">
        <v>99</v>
      </c>
      <c r="B17" s="35">
        <v>1078.2</v>
      </c>
      <c r="C17" s="35">
        <v>978</v>
      </c>
      <c r="D17" s="35">
        <v>1005</v>
      </c>
      <c r="E17" s="35">
        <v>1045</v>
      </c>
      <c r="F17" s="35">
        <v>1042</v>
      </c>
    </row>
    <row r="18" spans="1:6">
      <c r="A18" s="26" t="s">
        <v>221</v>
      </c>
    </row>
    <row r="19" spans="1:6">
      <c r="A19" s="25" t="s">
        <v>222</v>
      </c>
      <c r="B19" s="35">
        <v>356.5</v>
      </c>
      <c r="E19" s="35">
        <v>3</v>
      </c>
      <c r="F19" s="35">
        <v>56</v>
      </c>
    </row>
    <row r="20" spans="1:6">
      <c r="A20" s="28" t="s">
        <v>125</v>
      </c>
      <c r="B20" s="35">
        <v>1434.7</v>
      </c>
      <c r="C20" s="35">
        <v>978</v>
      </c>
      <c r="D20" s="35">
        <v>1005</v>
      </c>
      <c r="E20" s="35">
        <v>1048</v>
      </c>
      <c r="F20" s="35">
        <v>1098</v>
      </c>
    </row>
    <row r="21" spans="1:6">
      <c r="A21" s="26" t="s">
        <v>223</v>
      </c>
    </row>
    <row r="22" spans="1:6">
      <c r="A22" s="25" t="s">
        <v>224</v>
      </c>
      <c r="B22" s="35">
        <v>1434.7</v>
      </c>
      <c r="C22" s="35">
        <v>978</v>
      </c>
      <c r="D22" s="35">
        <v>1005</v>
      </c>
      <c r="E22" s="35">
        <v>1048</v>
      </c>
      <c r="F22" s="35">
        <v>1098</v>
      </c>
    </row>
    <row r="23" spans="1:6">
      <c r="A23" s="26" t="s">
        <v>225</v>
      </c>
      <c r="E23" s="35">
        <v>78.8</v>
      </c>
      <c r="F23" s="35">
        <v>82.3</v>
      </c>
    </row>
    <row r="24" spans="1:6">
      <c r="A24" s="25" t="s">
        <v>226</v>
      </c>
      <c r="B24" s="35">
        <v>107.6</v>
      </c>
      <c r="C24" s="35">
        <v>73.3</v>
      </c>
      <c r="D24" s="35">
        <v>75.3</v>
      </c>
    </row>
    <row r="25" spans="1:6">
      <c r="A25" s="25" t="s">
        <v>227</v>
      </c>
      <c r="B25" s="35">
        <v>107.6</v>
      </c>
      <c r="C25" s="35">
        <v>73.3</v>
      </c>
      <c r="D25" s="35">
        <v>75.3</v>
      </c>
      <c r="E25" s="35">
        <v>78.7</v>
      </c>
      <c r="F25" s="35">
        <v>82.1</v>
      </c>
    </row>
    <row r="26" spans="1:6">
      <c r="A26" s="26" t="s">
        <v>228</v>
      </c>
    </row>
    <row r="27" spans="1:6">
      <c r="A27" s="25" t="s">
        <v>226</v>
      </c>
      <c r="B27" s="35">
        <v>80.8</v>
      </c>
      <c r="E27" s="35">
        <v>78.599999999999994</v>
      </c>
      <c r="F27" s="35">
        <v>78.099999999999994</v>
      </c>
    </row>
    <row r="28" spans="1:6">
      <c r="A28" s="25" t="s">
        <v>227</v>
      </c>
      <c r="B28" s="35">
        <v>80.8</v>
      </c>
      <c r="E28" s="35">
        <v>78.5</v>
      </c>
      <c r="F28" s="35">
        <v>779</v>
      </c>
    </row>
    <row r="29" spans="1:6">
      <c r="A29" s="26" t="s">
        <v>229</v>
      </c>
    </row>
    <row r="30" spans="1:6" ht="13.5">
      <c r="A30" s="27" t="s">
        <v>230</v>
      </c>
    </row>
    <row r="31" spans="1:6" ht="13.5">
      <c r="A31" s="27" t="s">
        <v>231</v>
      </c>
      <c r="B31" s="35">
        <v>-2</v>
      </c>
      <c r="C31" s="35">
        <v>-17</v>
      </c>
      <c r="D31" s="35">
        <v>-9</v>
      </c>
      <c r="E31" s="35">
        <v>31</v>
      </c>
      <c r="F31" s="35">
        <v>14</v>
      </c>
    </row>
    <row r="32" spans="1:6">
      <c r="A32" s="25" t="s">
        <v>232</v>
      </c>
      <c r="B32" s="35">
        <v>0.6</v>
      </c>
      <c r="C32" s="35">
        <v>5</v>
      </c>
      <c r="D32" s="35">
        <v>3</v>
      </c>
      <c r="E32" s="35">
        <v>-9</v>
      </c>
      <c r="F32" s="35">
        <v>-4</v>
      </c>
    </row>
    <row r="33" spans="1:6">
      <c r="A33" s="25"/>
    </row>
    <row r="34" spans="1:6">
      <c r="A34" s="26" t="s">
        <v>233</v>
      </c>
      <c r="B34" s="35">
        <v>-1.4</v>
      </c>
      <c r="C34" s="35">
        <v>-12</v>
      </c>
      <c r="D34" s="35">
        <v>-6</v>
      </c>
      <c r="E34" s="35">
        <v>22</v>
      </c>
      <c r="F34" s="35">
        <v>10</v>
      </c>
    </row>
    <row r="35" spans="1:6">
      <c r="A35" s="25" t="s">
        <v>234</v>
      </c>
      <c r="E35" s="35">
        <v>1070</v>
      </c>
      <c r="F35" s="35">
        <v>1108</v>
      </c>
    </row>
    <row r="36" spans="1:6">
      <c r="A36" s="25" t="s">
        <v>224</v>
      </c>
      <c r="B36" s="35">
        <v>1433.3</v>
      </c>
      <c r="C36" s="35">
        <v>966</v>
      </c>
      <c r="D36" s="35">
        <v>999</v>
      </c>
    </row>
    <row r="37" spans="1:6">
      <c r="A37" s="25"/>
    </row>
    <row r="38" spans="1:6">
      <c r="A38" s="25"/>
    </row>
    <row r="39" spans="1:6">
      <c r="A39" s="25"/>
    </row>
    <row r="40" spans="1:6" ht="18.75">
      <c r="A40" s="34" t="s">
        <v>235</v>
      </c>
      <c r="B40" s="47" t="s">
        <v>1</v>
      </c>
      <c r="C40" s="47" t="s">
        <v>2</v>
      </c>
      <c r="D40" s="47" t="s">
        <v>3</v>
      </c>
      <c r="E40" s="47" t="s">
        <v>4</v>
      </c>
      <c r="F40" s="47" t="s">
        <v>5</v>
      </c>
    </row>
    <row r="41" spans="1:6">
      <c r="A41" s="28" t="s">
        <v>236</v>
      </c>
      <c r="E41" s="35" t="s">
        <v>210</v>
      </c>
      <c r="F41" s="35" t="s">
        <v>210</v>
      </c>
    </row>
    <row r="42" spans="1:6" s="12" customFormat="1" ht="13.15">
      <c r="A42" s="26" t="s">
        <v>237</v>
      </c>
      <c r="B42" s="36"/>
      <c r="C42" s="36"/>
      <c r="D42" s="36"/>
      <c r="E42" s="36"/>
      <c r="F42" s="36"/>
    </row>
    <row r="43" spans="1:6">
      <c r="A43" s="25" t="s">
        <v>238</v>
      </c>
      <c r="B43" s="35">
        <v>940.4</v>
      </c>
      <c r="C43" s="35">
        <v>992</v>
      </c>
      <c r="D43" s="35">
        <v>787</v>
      </c>
      <c r="E43" s="35">
        <v>580</v>
      </c>
      <c r="F43" s="35">
        <v>592</v>
      </c>
    </row>
    <row r="44" spans="1:6">
      <c r="A44" s="25" t="s">
        <v>239</v>
      </c>
      <c r="B44" s="35">
        <v>359.7</v>
      </c>
      <c r="C44" s="35">
        <v>434</v>
      </c>
      <c r="D44" s="35">
        <v>368</v>
      </c>
      <c r="E44" s="35">
        <v>459</v>
      </c>
      <c r="F44" s="35">
        <v>616</v>
      </c>
    </row>
    <row r="45" spans="1:6">
      <c r="A45" s="25" t="s">
        <v>17</v>
      </c>
      <c r="B45" s="35">
        <v>1964.7</v>
      </c>
      <c r="C45" s="35">
        <v>2166</v>
      </c>
      <c r="D45" s="35">
        <v>2107</v>
      </c>
      <c r="E45" s="35">
        <v>2448</v>
      </c>
      <c r="F45" s="35">
        <v>2323</v>
      </c>
    </row>
    <row r="46" spans="1:6">
      <c r="A46" s="25" t="s">
        <v>240</v>
      </c>
      <c r="C46" s="35">
        <v>42</v>
      </c>
      <c r="E46" s="35">
        <v>42</v>
      </c>
      <c r="F46" s="35">
        <v>4</v>
      </c>
    </row>
    <row r="47" spans="1:6">
      <c r="A47" s="25" t="s">
        <v>24</v>
      </c>
      <c r="B47" s="35">
        <v>94.1</v>
      </c>
      <c r="C47" s="35">
        <v>75</v>
      </c>
      <c r="D47" s="35">
        <v>85</v>
      </c>
      <c r="E47" s="35">
        <v>82</v>
      </c>
      <c r="F47" s="35">
        <v>127</v>
      </c>
    </row>
    <row r="48" spans="1:6">
      <c r="A48" s="25" t="s">
        <v>21</v>
      </c>
      <c r="B48" s="35">
        <v>47</v>
      </c>
      <c r="C48" s="35">
        <v>70</v>
      </c>
      <c r="D48" s="35">
        <v>87</v>
      </c>
      <c r="E48" s="35">
        <v>121</v>
      </c>
      <c r="F48" s="35">
        <v>96</v>
      </c>
    </row>
    <row r="49" spans="1:6">
      <c r="A49" s="29" t="s">
        <v>25</v>
      </c>
      <c r="B49" s="37">
        <v>3405.9</v>
      </c>
      <c r="C49" s="37">
        <v>3779</v>
      </c>
      <c r="D49" s="37">
        <v>3434</v>
      </c>
      <c r="E49" s="37">
        <v>3732</v>
      </c>
      <c r="F49" s="37">
        <v>3758</v>
      </c>
    </row>
    <row r="50" spans="1:6">
      <c r="A50" s="26" t="s">
        <v>241</v>
      </c>
      <c r="E50" s="36"/>
      <c r="F50" s="36"/>
    </row>
    <row r="51" spans="1:6">
      <c r="A51" s="25" t="s">
        <v>242</v>
      </c>
      <c r="B51" s="35">
        <v>4119.2</v>
      </c>
      <c r="C51" s="35">
        <v>4127</v>
      </c>
      <c r="D51" s="35">
        <v>4463</v>
      </c>
      <c r="E51" s="35">
        <v>4799</v>
      </c>
      <c r="F51" s="35">
        <v>4980</v>
      </c>
    </row>
    <row r="52" spans="1:6">
      <c r="A52" s="25" t="s">
        <v>243</v>
      </c>
      <c r="C52" s="35">
        <v>7660</v>
      </c>
      <c r="D52" s="35">
        <v>7288</v>
      </c>
      <c r="E52" s="35">
        <v>7194</v>
      </c>
      <c r="F52" s="35">
        <v>6507</v>
      </c>
    </row>
    <row r="53" spans="1:6">
      <c r="A53" s="25" t="s">
        <v>36</v>
      </c>
      <c r="B53" s="35">
        <v>1540.6</v>
      </c>
      <c r="C53" s="35">
        <v>1597</v>
      </c>
      <c r="D53" s="35">
        <v>1698</v>
      </c>
      <c r="E53" s="35">
        <v>1864</v>
      </c>
      <c r="F53" s="35">
        <v>2035</v>
      </c>
    </row>
    <row r="54" spans="1:6">
      <c r="A54" s="25" t="s">
        <v>39</v>
      </c>
      <c r="B54" s="35">
        <v>364.9</v>
      </c>
      <c r="C54" s="35">
        <v>849</v>
      </c>
      <c r="D54" s="35">
        <v>873</v>
      </c>
      <c r="E54" s="35">
        <v>820</v>
      </c>
      <c r="F54" s="35">
        <v>737</v>
      </c>
    </row>
    <row r="55" spans="1:6">
      <c r="A55" s="25" t="s">
        <v>244</v>
      </c>
      <c r="B55" s="35">
        <v>212.3</v>
      </c>
      <c r="C55" s="35">
        <v>217</v>
      </c>
      <c r="D55" s="35">
        <v>220</v>
      </c>
      <c r="E55" s="35">
        <v>190</v>
      </c>
      <c r="F55" s="35">
        <v>190</v>
      </c>
    </row>
    <row r="56" spans="1:6">
      <c r="A56" s="25" t="s">
        <v>245</v>
      </c>
      <c r="E56" s="35">
        <v>219</v>
      </c>
      <c r="F56" s="35">
        <v>220</v>
      </c>
    </row>
    <row r="57" spans="1:6">
      <c r="A57" s="25" t="s">
        <v>21</v>
      </c>
      <c r="B57" s="35">
        <v>134.1</v>
      </c>
      <c r="C57" s="35">
        <v>120</v>
      </c>
      <c r="D57" s="35">
        <v>147</v>
      </c>
      <c r="E57" s="35">
        <v>174</v>
      </c>
      <c r="F57" s="35">
        <v>52</v>
      </c>
    </row>
    <row r="58" spans="1:6">
      <c r="A58" s="29" t="s">
        <v>40</v>
      </c>
      <c r="B58" s="38">
        <v>6371.1</v>
      </c>
      <c r="C58" s="38">
        <v>14570</v>
      </c>
      <c r="D58" s="38">
        <v>14689</v>
      </c>
      <c r="E58" s="38">
        <v>15260</v>
      </c>
      <c r="F58" s="38">
        <v>14721</v>
      </c>
    </row>
    <row r="59" spans="1:6">
      <c r="A59" s="29" t="s">
        <v>41</v>
      </c>
      <c r="B59" s="37">
        <v>9777</v>
      </c>
      <c r="C59" s="37">
        <v>18349</v>
      </c>
      <c r="D59" s="37">
        <v>18123</v>
      </c>
      <c r="E59" s="37">
        <v>18992</v>
      </c>
      <c r="F59" s="37">
        <v>18479</v>
      </c>
    </row>
    <row r="60" spans="1:6">
      <c r="A60" s="28" t="s">
        <v>246</v>
      </c>
    </row>
    <row r="61" spans="1:6">
      <c r="A61" s="26" t="s">
        <v>247</v>
      </c>
    </row>
    <row r="62" spans="1:6">
      <c r="A62" s="25" t="s">
        <v>248</v>
      </c>
      <c r="B62" s="35">
        <v>3379.9</v>
      </c>
      <c r="C62" s="35">
        <v>3737</v>
      </c>
      <c r="D62" s="35">
        <v>3660</v>
      </c>
      <c r="E62" s="35">
        <v>4425</v>
      </c>
      <c r="F62" s="35">
        <v>4542</v>
      </c>
    </row>
    <row r="63" spans="1:6">
      <c r="A63" s="25" t="s">
        <v>54</v>
      </c>
      <c r="B63" s="35">
        <v>742.9</v>
      </c>
      <c r="C63" s="35">
        <v>861</v>
      </c>
      <c r="D63" s="35">
        <v>950</v>
      </c>
      <c r="E63" s="35">
        <v>851</v>
      </c>
      <c r="F63" s="35">
        <v>903</v>
      </c>
    </row>
    <row r="64" spans="1:6">
      <c r="A64" s="25" t="s">
        <v>249</v>
      </c>
      <c r="B64" s="35">
        <v>0.1</v>
      </c>
      <c r="D64" s="35">
        <v>60</v>
      </c>
    </row>
    <row r="65" spans="1:6">
      <c r="A65" s="25" t="s">
        <v>250</v>
      </c>
      <c r="C65" s="35">
        <v>885</v>
      </c>
      <c r="D65" s="35">
        <v>897</v>
      </c>
      <c r="E65" s="35">
        <v>913</v>
      </c>
      <c r="F65" s="35">
        <v>820</v>
      </c>
    </row>
    <row r="66" spans="1:6">
      <c r="A66" s="25" t="s">
        <v>93</v>
      </c>
      <c r="B66" s="35">
        <v>167.6</v>
      </c>
      <c r="C66" s="35">
        <v>198</v>
      </c>
      <c r="D66" s="35">
        <v>252</v>
      </c>
      <c r="E66" s="35">
        <v>312</v>
      </c>
      <c r="F66" s="35">
        <v>249</v>
      </c>
    </row>
    <row r="67" spans="1:6">
      <c r="A67" s="29" t="s">
        <v>58</v>
      </c>
      <c r="B67" s="37">
        <v>4290.5</v>
      </c>
      <c r="C67" s="37">
        <v>5681</v>
      </c>
      <c r="D67" s="37">
        <v>5819</v>
      </c>
      <c r="E67" s="37">
        <v>6501</v>
      </c>
      <c r="F67" s="37">
        <v>6514</v>
      </c>
    </row>
    <row r="68" spans="1:6">
      <c r="A68" s="26" t="s">
        <v>251</v>
      </c>
    </row>
    <row r="69" spans="1:6">
      <c r="A69" s="25" t="s">
        <v>252</v>
      </c>
      <c r="B69" s="35">
        <v>1460</v>
      </c>
      <c r="C69" s="35">
        <v>1354</v>
      </c>
      <c r="D69" s="35">
        <v>1142</v>
      </c>
      <c r="E69" s="35">
        <v>1095</v>
      </c>
      <c r="F69" s="35">
        <v>1118</v>
      </c>
    </row>
    <row r="70" spans="1:6">
      <c r="A70" s="25" t="s">
        <v>54</v>
      </c>
      <c r="B70" s="35">
        <v>598.4</v>
      </c>
      <c r="C70" s="35">
        <v>472</v>
      </c>
      <c r="D70" s="35">
        <v>458</v>
      </c>
      <c r="E70" s="35">
        <v>424</v>
      </c>
      <c r="F70" s="35">
        <v>375</v>
      </c>
    </row>
    <row r="71" spans="1:6">
      <c r="A71" s="25" t="s">
        <v>250</v>
      </c>
      <c r="C71" s="35">
        <v>8198</v>
      </c>
      <c r="D71" s="35">
        <v>7859</v>
      </c>
      <c r="E71" s="35">
        <v>7762</v>
      </c>
      <c r="F71" s="35">
        <v>7029</v>
      </c>
    </row>
    <row r="72" spans="1:6">
      <c r="A72" s="25" t="s">
        <v>93</v>
      </c>
      <c r="B72" s="35">
        <v>71</v>
      </c>
      <c r="C72" s="35">
        <v>29</v>
      </c>
      <c r="D72" s="35">
        <v>32</v>
      </c>
      <c r="E72" s="35">
        <v>11</v>
      </c>
      <c r="F72" s="35">
        <v>5</v>
      </c>
    </row>
    <row r="73" spans="1:6">
      <c r="A73" s="29" t="s">
        <v>63</v>
      </c>
      <c r="B73" s="37">
        <v>2129.4</v>
      </c>
      <c r="C73" s="37">
        <v>10053</v>
      </c>
      <c r="D73" s="37">
        <v>9491</v>
      </c>
      <c r="E73" s="39">
        <v>9292</v>
      </c>
      <c r="F73" s="39">
        <v>8527</v>
      </c>
    </row>
    <row r="74" spans="1:6">
      <c r="A74" s="29" t="s">
        <v>64</v>
      </c>
      <c r="B74" s="35">
        <v>6419.9</v>
      </c>
      <c r="C74" s="35">
        <v>15734</v>
      </c>
      <c r="D74" s="35">
        <v>15310</v>
      </c>
      <c r="E74" s="39">
        <v>15793</v>
      </c>
      <c r="F74" s="39">
        <v>15041</v>
      </c>
    </row>
    <row r="75" spans="1:6">
      <c r="A75" s="29" t="s">
        <v>65</v>
      </c>
      <c r="B75" s="37">
        <v>3357.1</v>
      </c>
      <c r="C75" s="37">
        <v>2615</v>
      </c>
      <c r="D75" s="37">
        <v>2813</v>
      </c>
      <c r="E75" s="40">
        <v>3199</v>
      </c>
      <c r="F75" s="40">
        <v>3438</v>
      </c>
    </row>
    <row r="76" spans="1:6">
      <c r="A76" s="28" t="s">
        <v>253</v>
      </c>
    </row>
    <row r="77" spans="1:6">
      <c r="A77" s="25" t="s">
        <v>68</v>
      </c>
      <c r="B77" s="35">
        <v>1627.8</v>
      </c>
      <c r="C77" s="35">
        <v>1611</v>
      </c>
      <c r="D77" s="35">
        <v>1585</v>
      </c>
      <c r="E77" s="35">
        <v>1636</v>
      </c>
      <c r="F77" s="35">
        <v>1644</v>
      </c>
    </row>
    <row r="78" spans="1:6">
      <c r="A78" s="25" t="s">
        <v>74</v>
      </c>
      <c r="B78" s="35">
        <v>42</v>
      </c>
      <c r="C78" s="35">
        <v>43</v>
      </c>
      <c r="D78" s="35">
        <v>69</v>
      </c>
      <c r="E78" s="35">
        <v>95</v>
      </c>
      <c r="F78" s="35">
        <v>104</v>
      </c>
    </row>
    <row r="79" spans="1:6">
      <c r="A79" s="25" t="s">
        <v>75</v>
      </c>
      <c r="B79" s="35">
        <v>1687.3</v>
      </c>
      <c r="C79" s="35">
        <v>961</v>
      </c>
      <c r="D79" s="35">
        <v>1159</v>
      </c>
      <c r="E79" s="35">
        <v>1468</v>
      </c>
      <c r="F79" s="35">
        <v>1690</v>
      </c>
    </row>
    <row r="80" spans="1:6">
      <c r="A80" s="29" t="s">
        <v>78</v>
      </c>
      <c r="B80" s="37">
        <v>3357.1</v>
      </c>
      <c r="C80" s="37">
        <v>2615</v>
      </c>
      <c r="D80" s="37">
        <v>2813</v>
      </c>
      <c r="E80" s="40">
        <v>3199</v>
      </c>
      <c r="F80" s="40">
        <v>3438</v>
      </c>
    </row>
    <row r="81" spans="1:8">
      <c r="A81" s="25"/>
    </row>
    <row r="82" spans="1:8">
      <c r="A82" s="25"/>
    </row>
    <row r="83" spans="1:8">
      <c r="A83" s="25"/>
    </row>
    <row r="84" spans="1:8">
      <c r="A84" s="30" t="s">
        <v>254</v>
      </c>
      <c r="B84" s="41"/>
      <c r="C84" s="42"/>
      <c r="D84" s="43"/>
      <c r="E84" s="43"/>
      <c r="F84" s="43"/>
      <c r="G84" s="33"/>
      <c r="H84" s="33"/>
    </row>
    <row r="85" spans="1:8">
      <c r="A85" s="48" t="s">
        <v>255</v>
      </c>
      <c r="B85" s="44">
        <v>2275</v>
      </c>
      <c r="C85" s="44">
        <v>2552</v>
      </c>
      <c r="D85" s="44">
        <v>2837</v>
      </c>
      <c r="E85" s="43">
        <v>2690</v>
      </c>
      <c r="F85" s="43">
        <v>2807</v>
      </c>
    </row>
    <row r="86" spans="1:8">
      <c r="A86" s="32" t="s">
        <v>256</v>
      </c>
      <c r="B86" s="45">
        <v>110</v>
      </c>
      <c r="C86" s="45">
        <v>107</v>
      </c>
      <c r="D86" s="45">
        <v>106</v>
      </c>
      <c r="E86" s="45">
        <v>104</v>
      </c>
      <c r="F86" s="45">
        <v>102</v>
      </c>
    </row>
    <row r="87" spans="1:8">
      <c r="A87" s="31"/>
      <c r="B87" s="43"/>
      <c r="C87" s="43"/>
      <c r="D87" s="43"/>
      <c r="E87" s="43"/>
      <c r="F87" s="43"/>
    </row>
    <row r="88" spans="1:8">
      <c r="A88" s="30" t="s">
        <v>257</v>
      </c>
      <c r="B88" s="43"/>
      <c r="C88" s="43"/>
      <c r="D88" s="43"/>
      <c r="E88" s="43"/>
      <c r="F88" s="43"/>
    </row>
    <row r="89" spans="1:8">
      <c r="A89" s="31" t="s">
        <v>258</v>
      </c>
      <c r="B89" s="43" t="s">
        <v>12</v>
      </c>
      <c r="C89" s="43">
        <v>30</v>
      </c>
      <c r="D89" s="43">
        <v>33</v>
      </c>
      <c r="E89" s="43">
        <v>33</v>
      </c>
      <c r="F89" s="43">
        <v>36</v>
      </c>
    </row>
    <row r="90" spans="1:8">
      <c r="A90" s="31" t="s">
        <v>259</v>
      </c>
      <c r="B90" s="43">
        <v>24</v>
      </c>
      <c r="C90" s="43">
        <v>27.5</v>
      </c>
      <c r="D90" s="43">
        <v>28</v>
      </c>
      <c r="E90" s="43">
        <v>30</v>
      </c>
      <c r="F90" s="43">
        <v>30</v>
      </c>
    </row>
    <row r="91" spans="1:8">
      <c r="A91" s="31" t="s">
        <v>260</v>
      </c>
      <c r="B91" s="43">
        <v>11.5</v>
      </c>
      <c r="C91" s="43" t="s">
        <v>12</v>
      </c>
      <c r="D91" s="43" t="s">
        <v>12</v>
      </c>
      <c r="E91" s="43" t="s">
        <v>12</v>
      </c>
      <c r="F91" s="43" t="s">
        <v>12</v>
      </c>
    </row>
    <row r="92" spans="1:8">
      <c r="A92" s="31" t="s">
        <v>261</v>
      </c>
      <c r="B92" s="43">
        <v>35.5</v>
      </c>
      <c r="C92" s="43">
        <v>57.5</v>
      </c>
      <c r="D92" s="43">
        <v>61</v>
      </c>
      <c r="E92" s="43">
        <v>63</v>
      </c>
      <c r="F92" s="43">
        <v>66</v>
      </c>
    </row>
    <row r="93" spans="1:8">
      <c r="A93" s="31" t="s">
        <v>262</v>
      </c>
      <c r="B93" s="46" t="s">
        <v>263</v>
      </c>
      <c r="C93" s="46">
        <v>82</v>
      </c>
      <c r="D93" s="46">
        <v>81</v>
      </c>
      <c r="E93" s="46">
        <v>80</v>
      </c>
      <c r="F93" s="46">
        <v>80</v>
      </c>
    </row>
    <row r="94" spans="1:8">
      <c r="A94" s="31" t="s">
        <v>164</v>
      </c>
      <c r="B94" s="46" t="s">
        <v>12</v>
      </c>
      <c r="C94" s="46">
        <v>-873</v>
      </c>
      <c r="D94" s="46">
        <v>-807</v>
      </c>
      <c r="E94" s="46">
        <v>-814</v>
      </c>
      <c r="F94" s="46">
        <v>-883</v>
      </c>
    </row>
    <row r="95" spans="1:8">
      <c r="A95" s="31" t="s">
        <v>264</v>
      </c>
      <c r="B95" s="43">
        <v>80.8</v>
      </c>
      <c r="C95" s="43">
        <v>73.3</v>
      </c>
      <c r="D95" s="43">
        <v>75.3</v>
      </c>
      <c r="E95" s="43">
        <v>78.599999999999994</v>
      </c>
      <c r="F95" s="43">
        <v>78.099999999999994</v>
      </c>
    </row>
    <row r="96" spans="1:8">
      <c r="A96" s="31" t="s">
        <v>265</v>
      </c>
      <c r="B96" s="43">
        <v>80.8</v>
      </c>
      <c r="C96" s="43">
        <v>73.3</v>
      </c>
      <c r="D96" s="43">
        <v>75.3</v>
      </c>
      <c r="E96" s="43">
        <v>78.5</v>
      </c>
      <c r="F96" s="43">
        <v>77.900000000000006</v>
      </c>
    </row>
    <row r="97" spans="1:6">
      <c r="A97" s="31" t="s">
        <v>266</v>
      </c>
      <c r="B97" s="43">
        <v>107.6</v>
      </c>
      <c r="C97" s="43">
        <v>73.3</v>
      </c>
      <c r="D97" s="43">
        <v>75.3</v>
      </c>
      <c r="E97" s="43">
        <v>78.8</v>
      </c>
      <c r="F97" s="43">
        <v>82.3</v>
      </c>
    </row>
    <row r="98" spans="1:6">
      <c r="A98" s="31" t="s">
        <v>267</v>
      </c>
      <c r="B98" s="43">
        <v>107.6</v>
      </c>
      <c r="C98" s="43">
        <v>73.3</v>
      </c>
      <c r="D98" s="43">
        <v>75.3</v>
      </c>
      <c r="E98" s="43">
        <v>78.7</v>
      </c>
      <c r="F98" s="43">
        <v>82.1</v>
      </c>
    </row>
    <row r="99" spans="1:6">
      <c r="A99" s="31" t="s">
        <v>268</v>
      </c>
      <c r="B99" s="43">
        <v>1334</v>
      </c>
      <c r="C99" s="43">
        <v>1334</v>
      </c>
      <c r="D99" s="43">
        <v>1334</v>
      </c>
      <c r="E99" s="43">
        <v>1330</v>
      </c>
      <c r="F99" s="43">
        <v>1334</v>
      </c>
    </row>
    <row r="100" spans="1:6">
      <c r="A100" s="32" t="s">
        <v>269</v>
      </c>
      <c r="B100" s="45">
        <v>1334</v>
      </c>
      <c r="C100" s="45">
        <v>1334</v>
      </c>
      <c r="D100" s="45">
        <v>1335</v>
      </c>
      <c r="E100" s="45">
        <v>1331</v>
      </c>
      <c r="F100" s="45">
        <v>1338</v>
      </c>
    </row>
    <row r="101" spans="1:6">
      <c r="A101" s="25"/>
    </row>
    <row r="102" spans="1:6">
      <c r="A102" s="25"/>
    </row>
    <row r="103" spans="1:6">
      <c r="A103" s="25"/>
    </row>
    <row r="104" spans="1:6">
      <c r="A104" s="25"/>
    </row>
    <row r="105" spans="1:6">
      <c r="A105" s="25"/>
    </row>
    <row r="106" spans="1:6">
      <c r="A106" s="25"/>
    </row>
    <row r="107" spans="1:6">
      <c r="A107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194C-EE76-4EB2-9673-AEB7FD5D8376}">
  <dimension ref="A1:G36"/>
  <sheetViews>
    <sheetView workbookViewId="0">
      <selection activeCell="F26" sqref="F26"/>
    </sheetView>
  </sheetViews>
  <sheetFormatPr defaultColWidth="8.85546875" defaultRowHeight="12.75"/>
  <cols>
    <col min="1" max="1" width="37.7109375" bestFit="1" customWidth="1"/>
    <col min="2" max="2" width="9" bestFit="1" customWidth="1"/>
    <col min="3" max="6" width="9.42578125" bestFit="1" customWidth="1"/>
  </cols>
  <sheetData>
    <row r="1" spans="1:6" ht="21.75">
      <c r="A1" s="4" t="s">
        <v>270</v>
      </c>
    </row>
    <row r="2" spans="1:6" ht="13.15">
      <c r="A2" s="10" t="s">
        <v>173</v>
      </c>
      <c r="B2" s="5">
        <v>2019</v>
      </c>
      <c r="C2" s="5">
        <v>2020</v>
      </c>
      <c r="D2" s="5">
        <v>2021</v>
      </c>
      <c r="E2" s="5">
        <v>2022</v>
      </c>
      <c r="F2" s="5">
        <v>2023</v>
      </c>
    </row>
    <row r="3" spans="1:6">
      <c r="A3" s="8" t="s">
        <v>174</v>
      </c>
      <c r="B3" s="49">
        <f>'Table 3 - Coles Financials'!B49/'Table 3 - Coles Financials'!B67</f>
        <v>0.79382356368721596</v>
      </c>
      <c r="C3" s="49">
        <f>'Table 3 - Coles Financials'!C49/'Table 3 - Coles Financials'!C67</f>
        <v>0.66519978876958286</v>
      </c>
      <c r="D3" s="49">
        <f>'Table 3 - Coles Financials'!D49/'Table 3 - Coles Financials'!D67</f>
        <v>0.59013576215844643</v>
      </c>
      <c r="E3" s="49">
        <f>'Table 3 - Coles Financials'!E49/'Table 3 - Coles Financials'!E67</f>
        <v>0.57406552838024916</v>
      </c>
      <c r="F3" s="49">
        <f>'Table 3 - Coles Financials'!F49/'Table 3 - Coles Financials'!F67</f>
        <v>0.5769112680380718</v>
      </c>
    </row>
    <row r="4" spans="1:6">
      <c r="A4" s="8" t="s">
        <v>175</v>
      </c>
      <c r="B4" s="49">
        <f>('Table 3 - Coles Financials'!B49-'Table 3 - Coles Financials'!B45)/'Table 3 - Coles Financials'!B67</f>
        <v>0.33590490618808999</v>
      </c>
      <c r="C4" s="49">
        <f>('Table 3 - Coles Financials'!C49-'Table 3 - Coles Financials'!C45)/'Table 3 - Coles Financials'!C67</f>
        <v>0.28392888575954939</v>
      </c>
      <c r="D4" s="49">
        <f>('Table 3 - Coles Financials'!D49-'Table 3 - Coles Financials'!D45)/'Table 3 - Coles Financials'!D67</f>
        <v>0.22804605602337172</v>
      </c>
      <c r="E4" s="49">
        <f>('Table 3 - Coles Financials'!E49-'Table 3 - Coles Financials'!E45)/'Table 3 - Coles Financials'!E67</f>
        <v>0.1975080756806645</v>
      </c>
      <c r="F4" s="49">
        <f>('Table 3 - Coles Financials'!F49-'Table 3 - Coles Financials'!F45)/'Table 3 - Coles Financials'!F67</f>
        <v>0.22029474976972674</v>
      </c>
    </row>
    <row r="5" spans="1:6">
      <c r="A5" s="8" t="s">
        <v>176</v>
      </c>
      <c r="B5" s="49">
        <f>('Table 3 - Coles Financials'!B43+'Table 3 - Coles Financials'!B47)/'Table 3 - Coles Financials'!B67</f>
        <v>0.24111408926698519</v>
      </c>
      <c r="C5" s="49">
        <f>('Table 3 - Coles Financials'!C43+'Table 3 - Coles Financials'!C47)/'Table 3 - Coles Financials'!C67</f>
        <v>0.18781904594261573</v>
      </c>
      <c r="D5" s="49">
        <f>('Table 3 - Coles Financials'!D43+'Table 3 - Coles Financials'!D47)/'Table 3 - Coles Financials'!D67</f>
        <v>0.14985392679154494</v>
      </c>
      <c r="E5" s="49">
        <f>('Table 3 - Coles Financials'!E43+'Table 3 - Coles Financials'!E47)/'Table 3 - Coles Financials'!E67</f>
        <v>0.10183048761728965</v>
      </c>
      <c r="F5" s="49">
        <f>('Table 3 - Coles Financials'!F43+'Table 3 - Coles Financials'!F47)/'Table 3 - Coles Financials'!F67</f>
        <v>0.11037764814246238</v>
      </c>
    </row>
    <row r="6" spans="1:6">
      <c r="A6" s="8" t="s">
        <v>177</v>
      </c>
      <c r="B6" s="49">
        <f>'Table 3 - Coles Financials'!B85/((8980.9+'Table 3 - Coles Financials'!B67)/2)</f>
        <v>0.34284250342842504</v>
      </c>
      <c r="C6" s="49">
        <f>'Table 3 - Coles Financials'!B85/(('Table 3 - Coles Financials'!B67+'Table 3 - Coles Financials'!C67)/2)</f>
        <v>0.45630045630045629</v>
      </c>
      <c r="D6" s="49">
        <f>'Table 3 - Coles Financials'!C85/(('Table 3 - Coles Financials'!C67+'Table 3 - Coles Financials'!D67)/2)</f>
        <v>0.44382608695652176</v>
      </c>
      <c r="E6" s="49">
        <f>'Table 3 - Coles Financials'!D85/(('Table 3 - Coles Financials'!D67+'Table 3 - Coles Financials'!E67)/2)</f>
        <v>0.46055194805194805</v>
      </c>
      <c r="F6" s="49">
        <f>'Table 3 - Coles Financials'!E85/(('Table 3 - Coles Financials'!E67+'Table 3 - Coles Financials'!F67)/2)</f>
        <v>0.4133691893968498</v>
      </c>
    </row>
    <row r="7" spans="1:6" ht="19.5">
      <c r="A7" s="8" t="s">
        <v>178</v>
      </c>
      <c r="B7" s="49">
        <f>(365*B4)/('Table 3 - Coles Financials'!B8+(-'Table 3 - Coles Financials'!B10)+(-'Table 3 - Coles Financials'!B11))</f>
        <v>7.0513061468318143E-3</v>
      </c>
      <c r="C7" s="49">
        <f>(365*C4)/('Table 3 - Coles Financials'!C8+(-'Table 3 - Coles Financials'!C10)+(-'Table 3 - Coles Financials'!C11))</f>
        <v>5.8149502470113074E-3</v>
      </c>
      <c r="D7" s="49">
        <f>(365*D4)/('Table 3 - Coles Financials'!D8+(-'Table 3 - Coles Financials'!D10)+(-'Table 3 - Coles Financials'!D11))</f>
        <v>4.4869177105563403E-3</v>
      </c>
      <c r="E7" s="49">
        <f>(365*E4)/('Table 3 - Coles Financials'!E8+(-'Table 3 - Coles Financials'!E10)+(-'Table 3 - Coles Financials'!E11))</f>
        <v>3.9736769718577087E-3</v>
      </c>
      <c r="F7" s="49">
        <f>(365*F4)/('Table 3 - Coles Financials'!F8+(-'Table 3 - Coles Financials'!F10)+(-'Table 3 - Coles Financials'!F11))</f>
        <v>4.1436528557562613E-3</v>
      </c>
    </row>
    <row r="8" spans="1:6">
      <c r="A8" s="8" t="s">
        <v>179</v>
      </c>
      <c r="B8" s="51">
        <f>'Table 3 - Coles Financials'!B49-'Table 3 - Coles Financials'!B67</f>
        <v>-884.59999999999991</v>
      </c>
      <c r="C8" s="51">
        <f>'Table 3 - Coles Financials'!C49-'Table 3 - Coles Financials'!C67</f>
        <v>-1902</v>
      </c>
      <c r="D8" s="51">
        <f>'Table 3 - Coles Financials'!D49-'Table 3 - Coles Financials'!D67</f>
        <v>-2385</v>
      </c>
      <c r="E8" s="51">
        <f>'Table 3 - Coles Financials'!E49-'Table 3 - Coles Financials'!E67</f>
        <v>-2769</v>
      </c>
      <c r="F8" s="51">
        <f>'Table 3 - Coles Financials'!F49-'Table 3 - Coles Financials'!F67</f>
        <v>-2756</v>
      </c>
    </row>
    <row r="9" spans="1:6" ht="13.15">
      <c r="A9" s="10" t="s">
        <v>180</v>
      </c>
      <c r="B9" s="49"/>
      <c r="C9" s="49"/>
      <c r="D9" s="49"/>
      <c r="E9" s="49"/>
      <c r="F9" s="49"/>
    </row>
    <row r="10" spans="1:6">
      <c r="A10" s="8" t="s">
        <v>181</v>
      </c>
      <c r="B10" s="49">
        <f>'Table 3 - Coles Financials'!B6/(('Table 3 - Coles Financials'!B44+497.2)/2)</f>
        <v>89.775236316956466</v>
      </c>
      <c r="C10" s="49">
        <f>'Table 3 - Coles Financials'!C6/(('Table 3 - Coles Financials'!B44+'Table 3 - Coles Financials'!C44)/2)</f>
        <v>95.209776993826381</v>
      </c>
      <c r="D10" s="49">
        <f>'Table 3 - Coles Financials'!D6/(('Table 3 - Coles Financials'!C44+'Table 3 - Coles Financials'!D44)/2)</f>
        <v>97.087281795511217</v>
      </c>
      <c r="E10" s="49">
        <f>'Table 3 - Coles Financials'!E6/(('Table 3 - Coles Financials'!D44+'Table 3 - Coles Financials'!E44)/2)</f>
        <v>92.723095525997579</v>
      </c>
      <c r="F10" s="49">
        <f>'Table 3 - Coles Financials'!F6/(('Table 3 - Coles Financials'!E44+'Table 3 - Coles Financials'!F44)/2)</f>
        <v>75.518139534883716</v>
      </c>
    </row>
    <row r="11" spans="1:6" ht="19.5">
      <c r="A11" s="8" t="s">
        <v>182</v>
      </c>
      <c r="B11" s="49">
        <f>365/B10</f>
        <v>4.0657091529266181</v>
      </c>
      <c r="C11" s="49">
        <f t="shared" ref="C11:F11" si="0">365/C10</f>
        <v>3.8336399004869786</v>
      </c>
      <c r="D11" s="49">
        <f t="shared" si="0"/>
        <v>3.7595037501284292</v>
      </c>
      <c r="E11" s="49">
        <f t="shared" si="0"/>
        <v>3.9364518400667694</v>
      </c>
      <c r="F11" s="49">
        <f t="shared" si="0"/>
        <v>4.8332758493262054</v>
      </c>
    </row>
    <row r="12" spans="1:6">
      <c r="A12" s="8" t="s">
        <v>183</v>
      </c>
      <c r="B12" s="49">
        <f>(-'Table 3 - Coles Financials'!B7)/(('Table 3 - Coles Financials'!B45+3442.3)/2)</f>
        <v>10.820565933049751</v>
      </c>
      <c r="C12" s="49">
        <f>(-'Table 3 - Coles Financials'!C7)/(('Table 3 - Coles Financials'!B45+'Table 3 - Coles Financials'!C45)/2)</f>
        <v>13.577843948967487</v>
      </c>
      <c r="D12" s="49">
        <f>(-'Table 3 - Coles Financials'!D7)/(('Table 3 - Coles Financials'!C45+'Table 3 - Coles Financials'!D45)/2)</f>
        <v>13.467353147671425</v>
      </c>
      <c r="E12" s="49">
        <f>(-'Table 3 - Coles Financials'!E7)/(('Table 3 - Coles Financials'!D45+'Table 3 - Coles Financials'!E45)/2)</f>
        <v>12.468057080131723</v>
      </c>
      <c r="F12" s="49">
        <f>(-'Table 3 - Coles Financials'!F7)/(('Table 3 - Coles Financials'!E45+'Table 3 - Coles Financials'!F45)/2)</f>
        <v>12.590232655627752</v>
      </c>
    </row>
    <row r="13" spans="1:6" ht="19.5">
      <c r="A13" s="8" t="s">
        <v>184</v>
      </c>
      <c r="B13" s="49">
        <f>365/B12</f>
        <v>33.732061914170657</v>
      </c>
      <c r="C13" s="49">
        <f t="shared" ref="C13:F13" si="1">365/C12</f>
        <v>26.882029383446849</v>
      </c>
      <c r="D13" s="49">
        <f t="shared" si="1"/>
        <v>27.102578806520004</v>
      </c>
      <c r="E13" s="49">
        <f t="shared" si="1"/>
        <v>29.274809832370757</v>
      </c>
      <c r="F13" s="49">
        <f t="shared" si="1"/>
        <v>28.990727175867349</v>
      </c>
    </row>
    <row r="14" spans="1:6">
      <c r="A14" s="8" t="s">
        <v>185</v>
      </c>
      <c r="B14" s="49">
        <f>((-'Table 3 - Coles Financials'!B7)+(3442.3-'Table 3 - Coles Financials'!B45))/(('Table 3 - Coles Financials'!B62+8008.5)/2)</f>
        <v>5.396895086228092</v>
      </c>
      <c r="C14" s="49">
        <f>((-'Table 3 - Coles Financials'!C7)+('Table 3 - Coles Financials'!C45-'Table 3 - Coles Financials'!B45))/(('Table 3 - Coles Financials'!B62+'Table 3 - Coles Financials'!C62)/2)</f>
        <v>7.9372479590833089</v>
      </c>
      <c r="D14" s="49">
        <f>((-'Table 3 - Coles Financials'!D7)+('Table 3 - Coles Financials'!D45-'Table 3 - Coles Financials'!C45))/(('Table 3 - Coles Financials'!C62+'Table 3 - Coles Financials'!D62)/2)</f>
        <v>7.7636879816141677</v>
      </c>
      <c r="E14" s="49">
        <f>((-'Table 3 - Coles Financials'!E7)+('Table 3 - Coles Financials'!E45-'Table 3 - Coles Financials'!D45))/(('Table 3 - Coles Financials'!D62+'Table 3 - Coles Financials'!E62)/2)</f>
        <v>7.1087198515769945</v>
      </c>
      <c r="F14" s="49">
        <f>((-'Table 3 - Coles Financials'!F7)+('Table 3 - Coles Financials'!F45-'Table 3 - Coles Financials'!E45))/(('Table 3 - Coles Financials'!E62+'Table 3 - Coles Financials'!F62)/2)</f>
        <v>6.6709044273447082</v>
      </c>
    </row>
    <row r="15" spans="1:6" ht="19.5">
      <c r="A15" s="8" t="s">
        <v>186</v>
      </c>
      <c r="B15" s="49">
        <f>365/B14</f>
        <v>67.631479613419671</v>
      </c>
      <c r="C15" s="49">
        <f t="shared" ref="C15:F15" si="2">365/C14</f>
        <v>45.985712161391852</v>
      </c>
      <c r="D15" s="49">
        <f t="shared" si="2"/>
        <v>47.013738942676049</v>
      </c>
      <c r="E15" s="49">
        <f t="shared" si="2"/>
        <v>51.345390959390336</v>
      </c>
      <c r="F15" s="49">
        <f t="shared" si="2"/>
        <v>54.715219499147416</v>
      </c>
    </row>
    <row r="16" spans="1:6">
      <c r="A16" s="8" t="s">
        <v>187</v>
      </c>
      <c r="B16" s="49">
        <f>B11+B13</f>
        <v>37.797771067097273</v>
      </c>
      <c r="C16" s="49">
        <f t="shared" ref="C16:F16" si="3">C11+C13</f>
        <v>30.715669283933828</v>
      </c>
      <c r="D16" s="49">
        <f t="shared" si="3"/>
        <v>30.862082556648431</v>
      </c>
      <c r="E16" s="49">
        <f t="shared" si="3"/>
        <v>33.211261672437523</v>
      </c>
      <c r="F16" s="49">
        <f t="shared" si="3"/>
        <v>33.824003025193555</v>
      </c>
    </row>
    <row r="17" spans="1:7" ht="19.5">
      <c r="A17" s="8" t="s">
        <v>188</v>
      </c>
      <c r="B17" s="49">
        <f>B16-B15</f>
        <v>-29.833708546322399</v>
      </c>
      <c r="C17" s="49">
        <f t="shared" ref="C17:F17" si="4">C16-C15</f>
        <v>-15.270042877458025</v>
      </c>
      <c r="D17" s="49">
        <f t="shared" si="4"/>
        <v>-16.151656386027618</v>
      </c>
      <c r="E17" s="49">
        <f t="shared" si="4"/>
        <v>-18.134129286952813</v>
      </c>
      <c r="F17" s="49">
        <f t="shared" si="4"/>
        <v>-20.891216473953861</v>
      </c>
    </row>
    <row r="18" spans="1:7" ht="19.5">
      <c r="A18" s="8" t="s">
        <v>189</v>
      </c>
      <c r="B18" s="49"/>
      <c r="C18" s="49">
        <f>'Table 3 - Coles Financials'!C6/(('Table 4 - Financial Ratios C'!B8+'Table 4 - Financial Ratios C'!C8)/2)</f>
        <v>-27.118352113686932</v>
      </c>
      <c r="D18" s="49">
        <f>'Table 3 - Coles Financials'!D6/(('Table 4 - Financial Ratios C'!C8+'Table 4 - Financial Ratios C'!D8)/2)</f>
        <v>-18.162817821320271</v>
      </c>
      <c r="E18" s="49">
        <f>'Table 3 - Coles Financials'!E6/(('Table 4 - Financial Ratios C'!D8+'Table 4 - Financial Ratios C'!E8)/2)</f>
        <v>-14.878152890958479</v>
      </c>
      <c r="F18" s="49">
        <f>'Table 3 - Coles Financials'!F6/(('Table 4 - Financial Ratios C'!E8+'Table 4 - Financial Ratios C'!F8)/2)</f>
        <v>-14.693574660633484</v>
      </c>
    </row>
    <row r="19" spans="1:7">
      <c r="A19" s="8" t="s">
        <v>190</v>
      </c>
      <c r="B19" s="49">
        <f>'Table 3 - Coles Financials'!B6/(('Table 3 - Coles Financials'!B51+5223)/2)</f>
        <v>8.234505790927189</v>
      </c>
      <c r="C19" s="49">
        <f>'Table 3 - Coles Financials'!C6/(('Table 3 - Coles Financials'!B51+'Table 3 - Coles Financials'!C51)/2)</f>
        <v>9.1639785598214925</v>
      </c>
      <c r="D19" s="49">
        <f>'Table 3 - Coles Financials'!D6/(('Table 3 - Coles Financials'!C51+'Table 3 - Coles Financials'!D51)/2)</f>
        <v>9.0644935972060541</v>
      </c>
      <c r="E19" s="49">
        <f>'Table 3 - Coles Financials'!E6/(('Table 3 - Coles Financials'!D51+'Table 3 - Coles Financials'!E51)/2)</f>
        <v>8.2792053552148559</v>
      </c>
      <c r="F19" s="49">
        <f>'Table 3 - Coles Financials'!F6/(('Table 3 - Coles Financials'!E51+'Table 3 - Coles Financials'!F51)/2)</f>
        <v>8.3016668370999085</v>
      </c>
    </row>
    <row r="20" spans="1:7">
      <c r="A20" s="8" t="s">
        <v>191</v>
      </c>
      <c r="B20" s="49">
        <f>'Table 3 - Coles Financials'!B6/(('Table 3 - Coles Financials'!B59+12544.7)/2)</f>
        <v>3.446350412378985</v>
      </c>
      <c r="C20" s="49">
        <f>'Table 3 - Coles Financials'!C6/(('Table 3 - Coles Financials'!C59+'Table 3 - Coles Financials'!B59)/2)</f>
        <v>2.6867666927398135</v>
      </c>
      <c r="D20" s="49">
        <f>'Table 3 - Coles Financials'!D6/(('Table 3 - Coles Financials'!D59+'Table 3 - Coles Financials'!C59)/2)</f>
        <v>2.1348980039482344</v>
      </c>
      <c r="E20" s="49">
        <f>'Table 3 - Coles Financials'!E6/(('Table 3 - Coles Financials'!E59+'Table 3 - Coles Financials'!D59)/2)</f>
        <v>2.0660649333153711</v>
      </c>
      <c r="F20" s="49">
        <f>'Table 3 - Coles Financials'!F6/(('Table 3 - Coles Financials'!F59+'Table 3 - Coles Financials'!E59)/2)</f>
        <v>2.1665287822582799</v>
      </c>
    </row>
    <row r="21" spans="1:7" ht="13.15">
      <c r="A21" s="10" t="s">
        <v>192</v>
      </c>
      <c r="B21" s="49"/>
      <c r="C21" s="49"/>
      <c r="D21" s="49"/>
      <c r="E21" s="49"/>
      <c r="F21" s="49"/>
    </row>
    <row r="22" spans="1:7">
      <c r="A22" s="8" t="s">
        <v>193</v>
      </c>
      <c r="B22" s="49">
        <f>'Table 3 - Coles Financials'!B20/(('Table 3 - Coles Financials'!B80+3249.6)/2)</f>
        <v>0.43431667852331729</v>
      </c>
      <c r="C22" s="49">
        <f>'Table 3 - Coles Financials'!C20/(('Table 3 - Coles Financials'!C80+'Table 3 - Coles Financials'!B80)/2)</f>
        <v>0.32752298186567536</v>
      </c>
      <c r="D22" s="49">
        <f>'Table 3 - Coles Financials'!D20/(('Table 3 - Coles Financials'!D80+'Table 3 - Coles Financials'!C80)/2)</f>
        <v>0.37030213706705967</v>
      </c>
      <c r="E22" s="49">
        <f>'Table 3 - Coles Financials'!E20/(('Table 3 - Coles Financials'!E80+'Table 3 - Coles Financials'!D80)/2)</f>
        <v>0.34863606121091151</v>
      </c>
      <c r="F22" s="49">
        <f>'Table 3 - Coles Financials'!F20/(('Table 3 - Coles Financials'!F80+'Table 3 - Coles Financials'!E80)/2)</f>
        <v>0.33087238210034653</v>
      </c>
    </row>
    <row r="23" spans="1:7">
      <c r="A23" s="8" t="s">
        <v>194</v>
      </c>
      <c r="B23" s="49">
        <f>'Table 3 - Coles Financials'!B20/(('Table 3 - Coles Financials'!B59+12544.7)/2)</f>
        <v>0.12854755686170857</v>
      </c>
      <c r="C23" s="49">
        <f>'Table 3 - Coles Financials'!C20/(('Table 3 - Coles Financials'!C59+'Table 3 - Coles Financials'!B59)/2)</f>
        <v>6.9544193984213895E-2</v>
      </c>
      <c r="D23" s="49">
        <f>'Table 3 - Coles Financials'!D20/(('Table 3 - Coles Financials'!D59+'Table 3 - Coles Financials'!C59)/2)</f>
        <v>5.5110769905681069E-2</v>
      </c>
      <c r="E23" s="49">
        <f>'Table 3 - Coles Financials'!E20/(('Table 3 - Coles Financials'!E59+'Table 3 - Coles Financials'!D59)/2)</f>
        <v>5.6473124073824599E-2</v>
      </c>
      <c r="F23" s="49">
        <f>'Table 3 - Coles Financials'!F20/(('Table 3 - Coles Financials'!F59+'Table 3 - Coles Financials'!E59)/2)</f>
        <v>5.8605321448586906E-2</v>
      </c>
    </row>
    <row r="24" spans="1:7" ht="19.5">
      <c r="A24" s="53" t="s">
        <v>196</v>
      </c>
      <c r="B24" s="54">
        <f>'Table 3 - Coles Financials'!B8/'Table 3 - Coles Financials'!B6</f>
        <v>0.23946422907534798</v>
      </c>
      <c r="C24" s="54">
        <f>'Table 3 - Coles Financials'!C8/'Table 3 - Coles Financials'!C6</f>
        <v>0.25780753758204533</v>
      </c>
      <c r="D24" s="54">
        <f>'Table 3 - Coles Financials'!D8/'Table 3 - Coles Financials'!D6</f>
        <v>0.26094215555327238</v>
      </c>
      <c r="E24" s="54">
        <f>'Table 3 - Coles Financials'!E8/'Table 3 - Coles Financials'!E6</f>
        <v>0.25938290602749015</v>
      </c>
      <c r="F24" s="54">
        <f>'Table 3 - Coles Financials'!F8/'Table 3 - Coles Financials'!F6</f>
        <v>0.26008228425020324</v>
      </c>
    </row>
    <row r="25" spans="1:7">
      <c r="A25" s="8" t="s">
        <v>197</v>
      </c>
      <c r="B25" s="49">
        <f>'Table 3 - Coles Financials'!B13/'Table 3 - Coles Financials'!B6</f>
        <v>3.8131561295958322E-2</v>
      </c>
      <c r="C25" s="49">
        <f>'Table 3 - Coles Financials'!C13/'Table 3 - Coles Financials'!C6</f>
        <v>4.6633495659538428E-2</v>
      </c>
      <c r="D25" s="49">
        <f>'Table 3 - Coles Financials'!D13/'Table 3 - Coles Financials'!D6</f>
        <v>4.8109524298777358E-2</v>
      </c>
      <c r="E25" s="49">
        <f>'Table 3 - Coles Financials'!E13/'Table 3 - Coles Financials'!E6</f>
        <v>4.7651339297357917E-2</v>
      </c>
      <c r="F25" s="49">
        <f>'Table 3 - Coles Financials'!F13/'Table 3 - Coles Financials'!F6</f>
        <v>4.5798329678992881E-2</v>
      </c>
    </row>
    <row r="26" spans="1:7" ht="14.25">
      <c r="A26" s="8" t="s">
        <v>198</v>
      </c>
      <c r="B26" s="49">
        <f>'Table 3 - Coles Financials'!B20/'Table 3 - Coles Financials'!B6</f>
        <v>3.7299618866374451E-2</v>
      </c>
      <c r="C26" s="49">
        <f>'Table 3 - Coles Financials'!C20/'Table 3 - Coles Financials'!C6</f>
        <v>2.5883972051662079E-2</v>
      </c>
      <c r="D26" s="49">
        <f>'Table 3 - Coles Financials'!D20/'Table 3 - Coles Financials'!D6</f>
        <v>2.5814240213705947E-2</v>
      </c>
      <c r="E26" s="49">
        <f>'Table 3 - Coles Financials'!E20/'Table 3 - Coles Financials'!E6</f>
        <v>2.73336637020422E-2</v>
      </c>
      <c r="F26" s="49">
        <f>'Table 3 - Coles Financials'!F20/'Table 3 - Coles Financials'!F6</f>
        <v>2.7050331354241088E-2</v>
      </c>
    </row>
    <row r="27" spans="1:7">
      <c r="A27" s="8" t="s">
        <v>199</v>
      </c>
      <c r="B27" s="49">
        <f>'Table 3 - Coles Financials'!B85/(('Table 3 - Coles Financials'!B59+12544.7)/2)</f>
        <v>0.20383752133574054</v>
      </c>
      <c r="C27" s="49">
        <f>'Table 3 - Coles Financials'!C85/(('Table 3 - Coles Financials'!C59+'Table 3 - Coles Financials'!B59)/2)</f>
        <v>0.18146910332077082</v>
      </c>
      <c r="D27" s="49">
        <f>'Table 3 - Coles Financials'!D85/(('Table 3 - Coles Financials'!D59+'Table 3 - Coles Financials'!C59)/2)</f>
        <v>0.155571397236236</v>
      </c>
      <c r="E27" s="49">
        <f>'Table 3 - Coles Financials'!E85/(('Table 3 - Coles Financials'!E59+'Table 3 - Coles Financials'!D59)/2)</f>
        <v>0.14495486999865284</v>
      </c>
      <c r="F27" s="49">
        <f>'Table 3 - Coles Financials'!F85/(('Table 3 - Coles Financials'!F59+'Table 3 - Coles Financials'!E59)/2)</f>
        <v>0.14982252942275359</v>
      </c>
    </row>
    <row r="28" spans="1:7">
      <c r="A28" s="8" t="s">
        <v>200</v>
      </c>
      <c r="B28" s="49">
        <f>'Table 3 - Coles Financials'!B97</f>
        <v>107.6</v>
      </c>
      <c r="C28" s="49">
        <f>'Table 3 - Coles Financials'!C97</f>
        <v>73.3</v>
      </c>
      <c r="D28" s="49">
        <f>'Table 3 - Coles Financials'!D97</f>
        <v>75.3</v>
      </c>
      <c r="E28" s="49">
        <f>'Table 3 - Coles Financials'!E97</f>
        <v>78.8</v>
      </c>
      <c r="F28" s="49">
        <f>'Table 3 - Coles Financials'!F97</f>
        <v>82.3</v>
      </c>
    </row>
    <row r="29" spans="1:7" hidden="1">
      <c r="A29" s="8" t="s">
        <v>271</v>
      </c>
      <c r="B29" s="49"/>
      <c r="C29" s="50"/>
      <c r="D29" s="50"/>
      <c r="E29" s="50"/>
      <c r="F29" s="50"/>
    </row>
    <row r="30" spans="1:7" hidden="1">
      <c r="A30" s="8" t="s">
        <v>272</v>
      </c>
      <c r="B30" s="49"/>
      <c r="C30" s="50"/>
      <c r="D30" s="50"/>
      <c r="E30" s="50"/>
      <c r="F30" s="50"/>
    </row>
    <row r="31" spans="1:7">
      <c r="A31" s="8" t="s">
        <v>273</v>
      </c>
      <c r="B31" s="49"/>
      <c r="C31" s="49">
        <f>'Table 3 - Coles Financials'!C93</f>
        <v>82</v>
      </c>
      <c r="D31" s="49">
        <f>'Table 3 - Coles Financials'!D93</f>
        <v>81</v>
      </c>
      <c r="E31" s="49">
        <f>'Table 3 - Coles Financials'!E93</f>
        <v>80</v>
      </c>
      <c r="F31" s="49">
        <f>'Table 3 - Coles Financials'!F93</f>
        <v>80</v>
      </c>
      <c r="G31" s="8"/>
    </row>
    <row r="32" spans="1:7" ht="13.15">
      <c r="A32" s="10" t="s">
        <v>201</v>
      </c>
      <c r="B32" s="50"/>
      <c r="C32" s="50"/>
      <c r="D32" s="50"/>
      <c r="E32" s="50"/>
      <c r="F32" s="50"/>
    </row>
    <row r="33" spans="1:6">
      <c r="A33" s="8" t="s">
        <v>202</v>
      </c>
      <c r="B33" s="49">
        <f>'Table 3 - Coles Financials'!B74/'Table 3 - Coles Financials'!B59</f>
        <v>0.65663291398179402</v>
      </c>
      <c r="C33" s="49">
        <f>'Table 3 - Coles Financials'!C74/'Table 3 - Coles Financials'!C59</f>
        <v>0.85748542154885821</v>
      </c>
      <c r="D33" s="49">
        <f>'Table 3 - Coles Financials'!D74/'Table 3 - Coles Financials'!D59</f>
        <v>0.8447828725928378</v>
      </c>
      <c r="E33" s="49">
        <f>'Table 3 - Coles Financials'!E74/'Table 3 - Coles Financials'!E59</f>
        <v>0.83156065711878691</v>
      </c>
      <c r="F33" s="49">
        <f>'Table 3 - Coles Financials'!F74/'Table 3 - Coles Financials'!F59</f>
        <v>0.81395097137290984</v>
      </c>
    </row>
    <row r="34" spans="1:6">
      <c r="A34" s="8" t="s">
        <v>203</v>
      </c>
      <c r="B34" s="49">
        <f>'Table 3 - Coles Financials'!B74/'Table 3 - Coles Financials'!B80</f>
        <v>1.9123350510857584</v>
      </c>
      <c r="C34" s="49">
        <f>'Table 3 - Coles Financials'!C74/'Table 3 - Coles Financials'!C80</f>
        <v>6.0168260038240922</v>
      </c>
      <c r="D34" s="49">
        <f>'Table 3 - Coles Financials'!D74/'Table 3 - Coles Financials'!D80</f>
        <v>5.4425879843583367</v>
      </c>
      <c r="E34" s="49">
        <f>'Table 3 - Coles Financials'!E74/'Table 3 - Coles Financials'!E80</f>
        <v>4.9368552672710218</v>
      </c>
      <c r="F34" s="49">
        <f>'Table 3 - Coles Financials'!F74/'Table 3 - Coles Financials'!F80</f>
        <v>4.3749272833042463</v>
      </c>
    </row>
    <row r="35" spans="1:6">
      <c r="A35" s="8" t="s">
        <v>204</v>
      </c>
      <c r="B35" s="49"/>
      <c r="C35" s="49">
        <f>(('Table 3 - Coles Financials'!C59+'Table 3 - Coles Financials'!B59)/2)/(('Table 3 - Coles Financials'!C80+'Table 3 - Coles Financials'!B80)/2)</f>
        <v>4.7095661492607288</v>
      </c>
      <c r="D35" s="49">
        <f>(('Table 3 - Coles Financials'!D59+'Table 3 - Coles Financials'!C59)/2)/(('Table 3 - Coles Financials'!D80+'Table 3 - Coles Financials'!C80)/2)</f>
        <v>6.7192336035372149</v>
      </c>
      <c r="E35" s="49">
        <f>(('Table 3 - Coles Financials'!E59+'Table 3 - Coles Financials'!D59)/2)/(('Table 3 - Coles Financials'!E80+'Table 3 - Coles Financials'!D80)/2)</f>
        <v>6.1734863606121095</v>
      </c>
      <c r="F35" s="49">
        <f>(('Table 3 - Coles Financials'!F59+'Table 3 - Coles Financials'!E59)/2)/(('Table 3 - Coles Financials'!F80+'Table 3 - Coles Financials'!E80)/2)</f>
        <v>5.6457736929335542</v>
      </c>
    </row>
    <row r="36" spans="1:6">
      <c r="A36" t="s">
        <v>206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2EED5B5113D8469CED345ECA3DE829" ma:contentTypeVersion="17" ma:contentTypeDescription="Create a new document." ma:contentTypeScope="" ma:versionID="9bd182eb8a8ba8b9afe7100711d3c0ec">
  <xsd:schema xmlns:xsd="http://www.w3.org/2001/XMLSchema" xmlns:xs="http://www.w3.org/2001/XMLSchema" xmlns:p="http://schemas.microsoft.com/office/2006/metadata/properties" xmlns:ns3="a6ad2204-a7d5-420a-b940-8601f74cc39b" xmlns:ns4="609c1249-a537-4287-b98d-eb201d69845d" targetNamespace="http://schemas.microsoft.com/office/2006/metadata/properties" ma:root="true" ma:fieldsID="37ff7492e68b6fc62cd1b6b21ea71eb2" ns3:_="" ns4:_="">
    <xsd:import namespace="a6ad2204-a7d5-420a-b940-8601f74cc39b"/>
    <xsd:import namespace="609c1249-a537-4287-b98d-eb201d6984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d2204-a7d5-420a-b940-8601f74cc3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c1249-a537-4287-b98d-eb201d6984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ad2204-a7d5-420a-b940-8601f74cc39b" xsi:nil="true"/>
  </documentManagement>
</p:properties>
</file>

<file path=customXml/itemProps1.xml><?xml version="1.0" encoding="utf-8"?>
<ds:datastoreItem xmlns:ds="http://schemas.openxmlformats.org/officeDocument/2006/customXml" ds:itemID="{A0710A8F-36A2-4CB3-92EF-088F4179070E}"/>
</file>

<file path=customXml/itemProps2.xml><?xml version="1.0" encoding="utf-8"?>
<ds:datastoreItem xmlns:ds="http://schemas.openxmlformats.org/officeDocument/2006/customXml" ds:itemID="{E937A649-58D1-4267-B882-9589293C928F}"/>
</file>

<file path=customXml/itemProps3.xml><?xml version="1.0" encoding="utf-8"?>
<ds:datastoreItem xmlns:ds="http://schemas.openxmlformats.org/officeDocument/2006/customXml" ds:itemID="{B9A8FC41-55F7-4020-B600-D89A59196F93}"/>
</file>

<file path=docMetadata/LabelInfo.xml><?xml version="1.0" encoding="utf-8"?>
<clbl:labelList xmlns:clbl="http://schemas.microsoft.com/office/2020/mipLabelMetadata">
  <clbl:label id="{79c742c4-e61c-4fa5-be89-a3cb566a80d1}" enabled="0" method="" siteId="{79c742c4-e61c-4fa5-be89-a3cb566a80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Shikhar Shrestha</cp:lastModifiedBy>
  <cp:revision/>
  <dcterms:created xsi:type="dcterms:W3CDTF">2024-03-06T15:27:44Z</dcterms:created>
  <dcterms:modified xsi:type="dcterms:W3CDTF">2025-07-25T15:22:23Z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0x0101005C2EED5B5113D8469CED345ECA3DE829</vt:lpwstr>
  </property>
</Properties>
</file>